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6" windowHeight="9288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<sst xmlns="http://schemas.openxmlformats.org/spreadsheetml/2006/main" count="1296" uniqueCount="209">
  <si>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</si>
  <si>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</si>
  <si>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</si>
  <si>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</si>
  <si>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</si>
  <si>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</si>
  <si>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</si>
  <si>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</si>
  <si>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</si>
  <si>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</si>
  <si>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</si>
  <si>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</si>
  <si>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</si>
  <si>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</si>
  <si>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</si>
  <si>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</si>
  <si>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</si>
  <si>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</si>
  <si>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</si>
  <si>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</si>
  <si>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</si>
  <si>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</si>
  <si>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</si>
  <si>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</si>
  <si>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</si>
  <si>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</si>
  <si>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</si>
  <si>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</si>
  <si>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</si>
  <si>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</si>
  <si>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</si>
  <si>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</si>
  <si>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</si>
  <si>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</si>
  <si>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</si>
  <si>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</si>
  <si>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</si>
  <si>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</si>
  <si>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</si>
  <si>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</si>
  <si>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</si>
  <si>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</si>
  <si>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</si>
  <si>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</si>
  <si>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</si>
  <si>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</si>
  <si>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</si>
  <si>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</si>
  <si>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</si>
  <si>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</si>
  <si>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</si>
  <si>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</si>
  <si>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</si>
  <si>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</si>
  <si>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</si>
  <si>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</si>
  <si>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</si>
  <si>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</si>
  <si>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</si>
  <si>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</si>
  <si>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</si>
  <si>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</si>
  <si>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</si>
  <si>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</si>
  <si>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</si>
  <si>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</si>
  <si>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</si>
  <si>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</si>
  <si>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</si>
  <si>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</si>
  <si>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</si>
  <si>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</si>
  <si>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</si>
  <si>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</si>
  <si>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</si>
  <si>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</si>
  <si>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</si>
  <si>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</si>
  <si>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</si>
  <si>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</si>
  <si>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</si>
  <si>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</si>
  <si>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</si>
  <si>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</si>
  <si>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</si>
  <si>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</si>
  <si>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</si>
  <si>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</si>
  <si>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</si>
  <si>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</si>
  <si>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</si>
  <si>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</si>
  <si>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</si>
  <si>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</si>
  <si>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</si>
  <si>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</si>
  <si>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</si>
  <si>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</si>
  <si>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</si>
  <si>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</si>
  <si>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</si>
  <si>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</si>
  <si>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</si>
  <si>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</si>
  <si>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</si>
  <si>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</si>
  <si>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</si>
  <si>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</si>
  <si>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</si>
  <si>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</si>
  <si>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</si>
  <si>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</si>
  <si>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</si>
  <si>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</si>
  <si>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</si>
  <si>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</si>
  <si>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</si>
  <si>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</si>
  <si>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</si>
  <si>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</si>
  <si>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</si>
  <si>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</si>
  <si>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</si>
  <si>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</si>
  <si>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</si>
  <si>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</si>
  <si>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</si>
  <si>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</si>
  <si>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</si>
  <si>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</si>
  <si>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</si>
  <si>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</si>
  <si>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</si>
  <si>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</si>
  <si>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</si>
  <si>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</si>
  <si>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</si>
  <si>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</si>
  <si>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</si>
  <si>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</si>
  <si>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</si>
  <si>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</si>
  <si>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</si>
  <si>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</si>
  <si>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</si>
  <si>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</si>
  <si>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</si>
  <si>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</si>
  <si>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</si>
  <si>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</si>
  <si>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</si>
  <si>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</si>
  <si>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</si>
  <si>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</si>
  <si>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24 0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</si>
  <si>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</si>
  <si>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</si>
  <si>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</si>
  <si>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</si>
  <si>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</si>
  <si>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</si>
  <si>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</si>
  <si>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</si>
  <si>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</si>
  <si>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</si>
  <si>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</si>
  <si>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</si>
  <si>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</si>
  <si>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</si>
  <si>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</si>
  <si>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</si>
  <si>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</si>
  <si>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</si>
  <si>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</si>
  <si>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</si>
  <si>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</si>
  <si>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</si>
  <si>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</si>
  <si>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</si>
  <si>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</si>
  <si>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</si>
  <si>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</si>
  <si>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</si>
  <si>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</si>
  <si>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</si>
  <si>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</si>
  <si>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</si>
  <si>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</si>
  <si>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</si>
  <si>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</si>
  <si>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</si>
  <si>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</si>
  <si>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</si>
  <si>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</si>
  <si>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</si>
  <si>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</si>
  <si>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</si>
  <si>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</si>
  <si>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</si>
  <si>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</si>
  <si>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</si>
  <si>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</si>
  <si>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</si>
  <si>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2022 год и плановый период 2023-2024 годов</t>
  </si>
  <si>
    <t xml:space="preserve"> 2024 год</t>
  </si>
  <si>
    <t>Приложение № 5                             к Решению Киквидзенской районной Думы                                      от 15.12.2021 года № 191/31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</si>
  <si>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</si>
  <si>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18 0 </t>
  </si>
  <si>
    <t>(в редакции решения  от 21.02.2022 года № 201/33, от 31.03.2022 года № 210/34, № 242/36 от 02.06.2022 года, № 250/38 от 04.07.2022 года, № 253/39 от 22.08.2022 года, № 264/41 от 20.10.2022 года, № 287/43 от 15.12.2022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</si>
</sst>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8"/>
  <sheetViews>
    <sheetView tabSelected="1" zoomScalePageLayoutView="0" workbookViewId="0" topLeftCell="A255">
      <selection activeCell="E258" sqref="E258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78" customHeight="1">
      <c r="A1" s="4"/>
      <c r="B1" s="5"/>
      <c r="C1" s="16"/>
      <c r="D1" s="16"/>
      <c r="E1" s="16"/>
      <c r="F1" s="31" t="s">
        <v>205</v>
      </c>
      <c r="G1" s="31"/>
    </row>
    <row r="2" spans="1:7" ht="55.5" customHeight="1">
      <c r="A2" s="4"/>
      <c r="B2" s="5"/>
      <c r="C2" s="31" t="s">
        <v>208</v>
      </c>
      <c r="D2" s="32"/>
      <c r="E2" s="32"/>
      <c r="F2" s="32"/>
      <c r="G2" s="32"/>
    </row>
    <row r="3" spans="1:7" ht="63.75" customHeight="1">
      <c r="A3" s="30" t="s">
        <v>203</v>
      </c>
      <c r="B3" s="30"/>
      <c r="C3" s="30"/>
      <c r="D3" s="30"/>
      <c r="E3" s="30"/>
      <c r="F3" s="30"/>
      <c r="G3" s="30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118</v>
      </c>
    </row>
    <row r="6" spans="1:10" ht="104.25">
      <c r="A6" s="2" t="s">
        <v>89</v>
      </c>
      <c r="B6" s="1" t="s">
        <v>96</v>
      </c>
      <c r="C6" s="1" t="s">
        <v>132</v>
      </c>
      <c r="D6" s="1" t="s">
        <v>94</v>
      </c>
      <c r="E6" s="3" t="s">
        <v>171</v>
      </c>
      <c r="F6" s="3" t="s">
        <v>175</v>
      </c>
      <c r="G6" s="3" t="s">
        <v>204</v>
      </c>
      <c r="J6" s="20"/>
    </row>
    <row r="7" spans="1:7" ht="17.25">
      <c r="A7" s="2" t="s">
        <v>90</v>
      </c>
      <c r="B7" s="1" t="s">
        <v>91</v>
      </c>
      <c r="C7" s="1" t="s">
        <v>92</v>
      </c>
      <c r="D7" s="1" t="s">
        <v>93</v>
      </c>
      <c r="E7" s="2" t="s">
        <v>95</v>
      </c>
      <c r="F7" s="2" t="s">
        <v>117</v>
      </c>
      <c r="G7" s="2" t="s">
        <v>123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E10+E13+E24+E47+E60+E64+E67+E43</f>
        <v>64550374.480000004</v>
      </c>
      <c r="F9" s="21">
        <f>F10+F13+F24+F47+F60+F64+F67+F43</f>
        <v>60571233</v>
      </c>
      <c r="G9" s="21">
        <f>G10+G13+G24+G47+G60+G64+G67+G43</f>
        <v>63957188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1816048.61</v>
      </c>
      <c r="F10" s="21">
        <f t="shared" si="0"/>
        <v>1622532</v>
      </c>
      <c r="G10" s="21">
        <f t="shared" si="0"/>
        <v>1622532</v>
      </c>
    </row>
    <row r="11" spans="1:7" ht="99.75" customHeight="1">
      <c r="A11" s="11" t="s">
        <v>100</v>
      </c>
      <c r="B11" s="8" t="s">
        <v>4</v>
      </c>
      <c r="C11" s="8" t="s">
        <v>133</v>
      </c>
      <c r="D11" s="8" t="s">
        <v>0</v>
      </c>
      <c r="E11" s="21">
        <f t="shared" si="0"/>
        <v>1816048.61</v>
      </c>
      <c r="F11" s="21">
        <f t="shared" si="0"/>
        <v>1622532</v>
      </c>
      <c r="G11" s="21">
        <f t="shared" si="0"/>
        <v>1622532</v>
      </c>
    </row>
    <row r="12" spans="1:7" ht="124.5" customHeight="1">
      <c r="A12" s="10" t="s">
        <v>5</v>
      </c>
      <c r="B12" s="9" t="s">
        <v>4</v>
      </c>
      <c r="C12" s="9" t="s">
        <v>133</v>
      </c>
      <c r="D12" s="9" t="s">
        <v>6</v>
      </c>
      <c r="E12" s="22">
        <f>1622532+196949-3432.39</f>
        <v>1816048.61</v>
      </c>
      <c r="F12" s="22">
        <f>1622532</f>
        <v>1622532</v>
      </c>
      <c r="G12" s="22">
        <f>1622532</f>
        <v>1622532</v>
      </c>
    </row>
    <row r="13" spans="1:7" ht="114" customHeight="1" hidden="1">
      <c r="A13" s="11" t="s">
        <v>7</v>
      </c>
      <c r="B13" s="8" t="s">
        <v>8</v>
      </c>
      <c r="C13" s="8" t="s">
        <v>0</v>
      </c>
      <c r="D13" s="8" t="s">
        <v>0</v>
      </c>
      <c r="E13" s="21">
        <f>E14+E22+E18</f>
        <v>0</v>
      </c>
      <c r="F13" s="21">
        <f>F14+F22+F18</f>
        <v>0</v>
      </c>
      <c r="G13" s="21">
        <f>G14+G22+G18</f>
        <v>0</v>
      </c>
    </row>
    <row r="14" spans="1:7" ht="0" customHeight="1" hidden="1">
      <c r="A14" s="11" t="s">
        <v>176</v>
      </c>
      <c r="B14" s="8" t="s">
        <v>8</v>
      </c>
      <c r="C14" s="8" t="s">
        <v>196</v>
      </c>
      <c r="D14" s="8" t="s">
        <v>0</v>
      </c>
      <c r="E14" s="21">
        <f>SUM(E15:E17)</f>
        <v>0</v>
      </c>
      <c r="F14" s="21">
        <f>SUM(F15:F17)</f>
        <v>0</v>
      </c>
      <c r="G14" s="21">
        <f>SUM(G15:G17)</f>
        <v>0</v>
      </c>
    </row>
    <row r="15" spans="1:7" ht="128.25" customHeight="1" hidden="1">
      <c r="A15" s="10" t="s">
        <v>5</v>
      </c>
      <c r="B15" s="9" t="s">
        <v>8</v>
      </c>
      <c r="C15" s="9" t="s">
        <v>196</v>
      </c>
      <c r="D15" s="9" t="s">
        <v>6</v>
      </c>
      <c r="E15" s="22">
        <f>726597-726597</f>
        <v>0</v>
      </c>
      <c r="F15" s="22">
        <f>726597-726597</f>
        <v>0</v>
      </c>
      <c r="G15" s="22">
        <f>726597-726597</f>
        <v>0</v>
      </c>
    </row>
    <row r="16" spans="1:7" ht="60" customHeight="1" hidden="1">
      <c r="A16" s="10" t="s">
        <v>9</v>
      </c>
      <c r="B16" s="9" t="s">
        <v>8</v>
      </c>
      <c r="C16" s="9" t="s">
        <v>196</v>
      </c>
      <c r="D16" s="9" t="s">
        <v>10</v>
      </c>
      <c r="E16" s="22">
        <f>250-250</f>
        <v>0</v>
      </c>
      <c r="F16" s="22">
        <f>250-250</f>
        <v>0</v>
      </c>
      <c r="G16" s="22">
        <f>250-250</f>
        <v>0</v>
      </c>
    </row>
    <row r="17" spans="1:7" ht="82.5" customHeight="1" hidden="1">
      <c r="A17" s="10" t="s">
        <v>9</v>
      </c>
      <c r="B17" s="9" t="s">
        <v>8</v>
      </c>
      <c r="C17" s="9" t="s">
        <v>150</v>
      </c>
      <c r="D17" s="9" t="s">
        <v>13</v>
      </c>
      <c r="E17" s="22"/>
      <c r="F17" s="22"/>
      <c r="G17" s="22"/>
    </row>
    <row r="18" spans="1:7" ht="99" customHeight="1" hidden="1">
      <c r="A18" s="11" t="s">
        <v>100</v>
      </c>
      <c r="B18" s="8" t="s">
        <v>8</v>
      </c>
      <c r="C18" s="8" t="s">
        <v>169</v>
      </c>
      <c r="D18" s="8"/>
      <c r="E18" s="21">
        <f>E19+E20+E21</f>
        <v>0</v>
      </c>
      <c r="F18" s="21">
        <f>F19+F20+F21</f>
        <v>0</v>
      </c>
      <c r="G18" s="21">
        <f>G19+G20+G21</f>
        <v>0</v>
      </c>
    </row>
    <row r="19" spans="1:7" ht="95.25" customHeight="1" hidden="1">
      <c r="A19" s="10" t="s">
        <v>5</v>
      </c>
      <c r="B19" s="9" t="s">
        <v>8</v>
      </c>
      <c r="C19" s="9" t="s">
        <v>169</v>
      </c>
      <c r="D19" s="9" t="s">
        <v>6</v>
      </c>
      <c r="E19" s="21"/>
      <c r="F19" s="22"/>
      <c r="G19" s="22"/>
    </row>
    <row r="20" spans="1:7" ht="60" customHeight="1" hidden="1">
      <c r="A20" s="10" t="s">
        <v>9</v>
      </c>
      <c r="B20" s="9" t="s">
        <v>8</v>
      </c>
      <c r="C20" s="9" t="s">
        <v>169</v>
      </c>
      <c r="D20" s="9" t="s">
        <v>10</v>
      </c>
      <c r="E20" s="21"/>
      <c r="F20" s="21"/>
      <c r="G20" s="22"/>
    </row>
    <row r="21" spans="1:7" ht="55.5" customHeight="1" hidden="1">
      <c r="A21" s="10" t="s">
        <v>9</v>
      </c>
      <c r="B21" s="9" t="s">
        <v>8</v>
      </c>
      <c r="C21" s="9" t="s">
        <v>169</v>
      </c>
      <c r="D21" s="9" t="s">
        <v>13</v>
      </c>
      <c r="E21" s="22"/>
      <c r="F21" s="22"/>
      <c r="G21" s="22"/>
    </row>
    <row r="22" spans="1:7" ht="69" hidden="1">
      <c r="A22" s="11" t="s">
        <v>102</v>
      </c>
      <c r="B22" s="8" t="s">
        <v>8</v>
      </c>
      <c r="C22" s="8" t="s">
        <v>11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61.5" customHeight="1" hidden="1">
      <c r="A23" s="10" t="s">
        <v>12</v>
      </c>
      <c r="B23" s="9" t="s">
        <v>8</v>
      </c>
      <c r="C23" s="9" t="s">
        <v>11</v>
      </c>
      <c r="D23" s="9" t="s">
        <v>13</v>
      </c>
      <c r="E23" s="22"/>
      <c r="F23" s="22"/>
      <c r="G23" s="22"/>
    </row>
    <row r="24" spans="1:7" ht="138.75">
      <c r="A24" s="11" t="s">
        <v>14</v>
      </c>
      <c r="B24" s="8" t="s">
        <v>15</v>
      </c>
      <c r="C24" s="8" t="s">
        <v>0</v>
      </c>
      <c r="D24" s="8" t="s">
        <v>0</v>
      </c>
      <c r="E24" s="21">
        <f>E27+E38+E34+E25+E32</f>
        <v>21124021.98</v>
      </c>
      <c r="F24" s="21">
        <f>F27+F38+F34+F25+F32</f>
        <v>19925160</v>
      </c>
      <c r="G24" s="21">
        <f>G27+G38+G34+G25+G32</f>
        <v>19886360</v>
      </c>
    </row>
    <row r="25" spans="1:7" ht="116.25" customHeight="1">
      <c r="A25" s="11" t="s">
        <v>177</v>
      </c>
      <c r="B25" s="8" t="s">
        <v>15</v>
      </c>
      <c r="C25" s="8" t="s">
        <v>140</v>
      </c>
      <c r="D25" s="8"/>
      <c r="E25" s="21">
        <f>E26</f>
        <v>0</v>
      </c>
      <c r="F25" s="21">
        <f>F26</f>
        <v>60000</v>
      </c>
      <c r="G25" s="21">
        <f>G26</f>
        <v>60000</v>
      </c>
    </row>
    <row r="26" spans="1:7" ht="54">
      <c r="A26" s="10" t="s">
        <v>9</v>
      </c>
      <c r="B26" s="9" t="s">
        <v>15</v>
      </c>
      <c r="C26" s="9" t="s">
        <v>140</v>
      </c>
      <c r="D26" s="9" t="s">
        <v>10</v>
      </c>
      <c r="E26" s="22">
        <f>60000-60000</f>
        <v>0</v>
      </c>
      <c r="F26" s="22">
        <f>60000</f>
        <v>60000</v>
      </c>
      <c r="G26" s="22">
        <f>60000</f>
        <v>60000</v>
      </c>
    </row>
    <row r="27" spans="1:7" ht="147" customHeight="1">
      <c r="A27" s="11" t="s">
        <v>178</v>
      </c>
      <c r="B27" s="8" t="s">
        <v>15</v>
      </c>
      <c r="C27" s="8" t="s">
        <v>134</v>
      </c>
      <c r="D27" s="8" t="s">
        <v>0</v>
      </c>
      <c r="E27" s="21">
        <f>E28+E29+E30+E31</f>
        <v>19348432.990000002</v>
      </c>
      <c r="F27" s="21">
        <f>F28+F29+F30</f>
        <v>18489460</v>
      </c>
      <c r="G27" s="21">
        <f>G28+G29+G30</f>
        <v>18489460</v>
      </c>
    </row>
    <row r="28" spans="1:7" ht="126" customHeight="1">
      <c r="A28" s="10" t="s">
        <v>5</v>
      </c>
      <c r="B28" s="9" t="s">
        <v>15</v>
      </c>
      <c r="C28" s="9" t="s">
        <v>134</v>
      </c>
      <c r="D28" s="9" t="s">
        <v>6</v>
      </c>
      <c r="E28" s="22">
        <f>17136096-84190.68+726597-4009.08-197082.69-200000-198500</f>
        <v>17178910.55</v>
      </c>
      <c r="F28" s="22">
        <f>17136096+726597</f>
        <v>17862693</v>
      </c>
      <c r="G28" s="22">
        <f>17136096+726597</f>
        <v>17862693</v>
      </c>
    </row>
    <row r="29" spans="1:7" ht="54">
      <c r="A29" s="10" t="s">
        <v>9</v>
      </c>
      <c r="B29" s="9" t="s">
        <v>15</v>
      </c>
      <c r="C29" s="9" t="s">
        <v>134</v>
      </c>
      <c r="D29" s="9" t="s">
        <v>10</v>
      </c>
      <c r="E29" s="22">
        <f>1802517+250+80000-100+198500</f>
        <v>2081167</v>
      </c>
      <c r="F29" s="22">
        <f>626517+250</f>
        <v>626767</v>
      </c>
      <c r="G29" s="22">
        <f>626517+250</f>
        <v>626767</v>
      </c>
    </row>
    <row r="30" spans="1:7" ht="36">
      <c r="A30" s="10" t="s">
        <v>32</v>
      </c>
      <c r="B30" s="9" t="s">
        <v>15</v>
      </c>
      <c r="C30" s="9" t="s">
        <v>134</v>
      </c>
      <c r="D30" s="9" t="s">
        <v>33</v>
      </c>
      <c r="E30" s="22">
        <f>84190.68+4009.08</f>
        <v>88199.76</v>
      </c>
      <c r="F30" s="22"/>
      <c r="G30" s="22"/>
    </row>
    <row r="31" spans="1:7" ht="26.25" customHeight="1">
      <c r="A31" s="10" t="s">
        <v>12</v>
      </c>
      <c r="B31" s="9" t="s">
        <v>15</v>
      </c>
      <c r="C31" s="9" t="s">
        <v>134</v>
      </c>
      <c r="D31" s="9" t="s">
        <v>13</v>
      </c>
      <c r="E31" s="22">
        <f>100+133.69-78.01</f>
        <v>155.68</v>
      </c>
      <c r="F31" s="22"/>
      <c r="G31" s="22"/>
    </row>
    <row r="32" spans="1:7" ht="138.75" hidden="1">
      <c r="A32" s="11" t="s">
        <v>151</v>
      </c>
      <c r="B32" s="8" t="s">
        <v>15</v>
      </c>
      <c r="C32" s="8" t="s">
        <v>152</v>
      </c>
      <c r="D32" s="8"/>
      <c r="E32" s="21">
        <f>E33</f>
        <v>0</v>
      </c>
      <c r="F32" s="21">
        <f>F33</f>
        <v>0</v>
      </c>
      <c r="G32" s="21">
        <f>G33</f>
        <v>0</v>
      </c>
    </row>
    <row r="33" spans="1:7" ht="54" hidden="1">
      <c r="A33" s="10" t="s">
        <v>9</v>
      </c>
      <c r="B33" s="9" t="s">
        <v>15</v>
      </c>
      <c r="C33" s="9" t="s">
        <v>152</v>
      </c>
      <c r="D33" s="9" t="s">
        <v>10</v>
      </c>
      <c r="E33" s="22"/>
      <c r="F33" s="22"/>
      <c r="G33" s="22"/>
    </row>
    <row r="34" spans="1:7" ht="84.75" customHeight="1">
      <c r="A34" s="11" t="s">
        <v>100</v>
      </c>
      <c r="B34" s="8" t="s">
        <v>15</v>
      </c>
      <c r="C34" s="8" t="s">
        <v>133</v>
      </c>
      <c r="D34" s="8" t="s">
        <v>0</v>
      </c>
      <c r="E34" s="21">
        <f>SUM(E35:E37)</f>
        <v>171385</v>
      </c>
      <c r="F34" s="21">
        <f>SUM(F35:F37)</f>
        <v>0</v>
      </c>
      <c r="G34" s="21">
        <f>SUM(G35:G37)</f>
        <v>0</v>
      </c>
    </row>
    <row r="35" spans="1:7" ht="144" hidden="1">
      <c r="A35" s="10" t="s">
        <v>5</v>
      </c>
      <c r="B35" s="9" t="s">
        <v>15</v>
      </c>
      <c r="C35" s="9" t="s">
        <v>133</v>
      </c>
      <c r="D35" s="9" t="s">
        <v>6</v>
      </c>
      <c r="E35" s="20"/>
      <c r="F35" s="22"/>
      <c r="G35" s="22"/>
    </row>
    <row r="36" spans="1:7" ht="54" hidden="1">
      <c r="A36" s="10" t="s">
        <v>9</v>
      </c>
      <c r="B36" s="9" t="s">
        <v>15</v>
      </c>
      <c r="C36" s="9" t="s">
        <v>133</v>
      </c>
      <c r="D36" s="9" t="s">
        <v>10</v>
      </c>
      <c r="E36" s="20"/>
      <c r="F36" s="22"/>
      <c r="G36" s="22"/>
    </row>
    <row r="37" spans="1:7" ht="36">
      <c r="A37" s="10" t="s">
        <v>32</v>
      </c>
      <c r="B37" s="9" t="s">
        <v>15</v>
      </c>
      <c r="C37" s="9" t="s">
        <v>133</v>
      </c>
      <c r="D37" s="9" t="s">
        <v>33</v>
      </c>
      <c r="E37" s="22">
        <f>171385</f>
        <v>171385</v>
      </c>
      <c r="F37" s="22"/>
      <c r="G37" s="22"/>
    </row>
    <row r="38" spans="1:7" ht="69">
      <c r="A38" s="11" t="s">
        <v>102</v>
      </c>
      <c r="B38" s="8" t="s">
        <v>15</v>
      </c>
      <c r="C38" s="8" t="s">
        <v>135</v>
      </c>
      <c r="D38" s="8" t="s">
        <v>0</v>
      </c>
      <c r="E38" s="21">
        <f>SUM(E39:E42)</f>
        <v>1604203.99</v>
      </c>
      <c r="F38" s="21">
        <f>SUM(F39:F42)</f>
        <v>1375700</v>
      </c>
      <c r="G38" s="21">
        <f>SUM(G39:G42)</f>
        <v>1336900</v>
      </c>
    </row>
    <row r="39" spans="1:7" ht="126" customHeight="1">
      <c r="A39" s="10" t="s">
        <v>5</v>
      </c>
      <c r="B39" s="9" t="s">
        <v>15</v>
      </c>
      <c r="C39" s="9" t="s">
        <v>135</v>
      </c>
      <c r="D39" s="9" t="s">
        <v>6</v>
      </c>
      <c r="E39" s="22">
        <f>308100+686400+321600+207400-44099.88+28085+44099.88+25+15</f>
        <v>1551625</v>
      </c>
      <c r="F39" s="22">
        <f>296900+606500+283000+189300</f>
        <v>1375700</v>
      </c>
      <c r="G39" s="22">
        <f>296900+584700+272800+182500</f>
        <v>1336900</v>
      </c>
    </row>
    <row r="40" spans="1:7" ht="51.75" customHeight="1">
      <c r="A40" s="10" t="s">
        <v>9</v>
      </c>
      <c r="B40" s="9" t="s">
        <v>15</v>
      </c>
      <c r="C40" s="9" t="s">
        <v>135</v>
      </c>
      <c r="D40" s="9" t="s">
        <v>10</v>
      </c>
      <c r="E40" s="22">
        <f>49575+3000</f>
        <v>52575</v>
      </c>
      <c r="F40" s="22"/>
      <c r="G40" s="22"/>
    </row>
    <row r="41" spans="1:7" ht="36" hidden="1">
      <c r="A41" s="10" t="s">
        <v>32</v>
      </c>
      <c r="B41" s="9" t="s">
        <v>15</v>
      </c>
      <c r="C41" s="9" t="s">
        <v>135</v>
      </c>
      <c r="D41" s="9" t="s">
        <v>33</v>
      </c>
      <c r="E41" s="22">
        <f>44099.88-44099.88</f>
        <v>0</v>
      </c>
      <c r="F41" s="22"/>
      <c r="G41" s="22"/>
    </row>
    <row r="42" spans="1:7" ht="18">
      <c r="A42" s="10" t="s">
        <v>12</v>
      </c>
      <c r="B42" s="9" t="s">
        <v>15</v>
      </c>
      <c r="C42" s="9" t="s">
        <v>135</v>
      </c>
      <c r="D42" s="9" t="s">
        <v>13</v>
      </c>
      <c r="E42" s="22">
        <f>100-96.01</f>
        <v>3.989999999999995</v>
      </c>
      <c r="F42" s="22"/>
      <c r="G42" s="22"/>
    </row>
    <row r="43" spans="1:7" ht="24" customHeight="1">
      <c r="A43" s="11" t="s">
        <v>147</v>
      </c>
      <c r="B43" s="8" t="s">
        <v>148</v>
      </c>
      <c r="C43" s="9"/>
      <c r="D43" s="9"/>
      <c r="E43" s="21">
        <f>E44</f>
        <v>79100</v>
      </c>
      <c r="F43" s="21">
        <f>F44</f>
        <v>3100</v>
      </c>
      <c r="G43" s="21">
        <f>G44</f>
        <v>2800</v>
      </c>
    </row>
    <row r="44" spans="1:7" ht="69">
      <c r="A44" s="11" t="s">
        <v>101</v>
      </c>
      <c r="B44" s="8" t="s">
        <v>148</v>
      </c>
      <c r="C44" s="8" t="s">
        <v>149</v>
      </c>
      <c r="D44" s="9"/>
      <c r="E44" s="21">
        <f>E46+E45</f>
        <v>79100</v>
      </c>
      <c r="F44" s="21">
        <f>F46+F45</f>
        <v>3100</v>
      </c>
      <c r="G44" s="21">
        <f>G46+G45</f>
        <v>2800</v>
      </c>
    </row>
    <row r="45" spans="1:7" ht="54">
      <c r="A45" s="10" t="s">
        <v>9</v>
      </c>
      <c r="B45" s="9" t="s">
        <v>148</v>
      </c>
      <c r="C45" s="9" t="s">
        <v>149</v>
      </c>
      <c r="D45" s="9" t="s">
        <v>10</v>
      </c>
      <c r="E45" s="21"/>
      <c r="F45" s="22">
        <v>3100</v>
      </c>
      <c r="G45" s="22">
        <v>2800</v>
      </c>
    </row>
    <row r="46" spans="1:7" ht="18">
      <c r="A46" s="10" t="s">
        <v>12</v>
      </c>
      <c r="B46" s="9" t="s">
        <v>148</v>
      </c>
      <c r="C46" s="9" t="s">
        <v>149</v>
      </c>
      <c r="D46" s="9" t="s">
        <v>13</v>
      </c>
      <c r="E46" s="22">
        <f>72700+6400</f>
        <v>79100</v>
      </c>
      <c r="F46" s="22"/>
      <c r="G46" s="22"/>
    </row>
    <row r="47" spans="1:7" ht="101.25" customHeight="1">
      <c r="A47" s="11" t="s">
        <v>16</v>
      </c>
      <c r="B47" s="8" t="s">
        <v>17</v>
      </c>
      <c r="C47" s="8" t="s">
        <v>0</v>
      </c>
      <c r="D47" s="8" t="s">
        <v>0</v>
      </c>
      <c r="E47" s="21">
        <f>E48+E56+E52</f>
        <v>8609041.72</v>
      </c>
      <c r="F47" s="21">
        <f>F48+F56+F52</f>
        <v>7094651</v>
      </c>
      <c r="G47" s="21">
        <f>G48+G56+G52</f>
        <v>7094651</v>
      </c>
    </row>
    <row r="48" spans="1:7" ht="138.75">
      <c r="A48" s="11" t="s">
        <v>179</v>
      </c>
      <c r="B48" s="8" t="s">
        <v>17</v>
      </c>
      <c r="C48" s="8" t="s">
        <v>136</v>
      </c>
      <c r="D48" s="8" t="s">
        <v>0</v>
      </c>
      <c r="E48" s="21">
        <f>SUM(E49:E51)</f>
        <v>8547968.72</v>
      </c>
      <c r="F48" s="21">
        <f>SUM(F49:F51)</f>
        <v>7094651</v>
      </c>
      <c r="G48" s="21">
        <f>SUM(G49:G51)</f>
        <v>7094651</v>
      </c>
    </row>
    <row r="49" spans="1:7" ht="131.25" customHeight="1">
      <c r="A49" s="10" t="s">
        <v>5</v>
      </c>
      <c r="B49" s="9" t="s">
        <v>17</v>
      </c>
      <c r="C49" s="9" t="s">
        <v>136</v>
      </c>
      <c r="D49" s="9" t="s">
        <v>6</v>
      </c>
      <c r="E49" s="22">
        <f>7009162+400043+52937+49105.71+5240.01+330209+172097.81-35693.89+15684.45</f>
        <v>7998785.09</v>
      </c>
      <c r="F49" s="22">
        <f>7009162-35000</f>
        <v>6974162</v>
      </c>
      <c r="G49" s="22">
        <f>7009162</f>
        <v>7009162</v>
      </c>
    </row>
    <row r="50" spans="1:7" ht="54">
      <c r="A50" s="10" t="s">
        <v>9</v>
      </c>
      <c r="B50" s="9" t="s">
        <v>17</v>
      </c>
      <c r="C50" s="9" t="s">
        <v>136</v>
      </c>
      <c r="D50" s="9" t="s">
        <v>10</v>
      </c>
      <c r="E50" s="22">
        <f>400949+65134+10500+34086-1.22+13505.19+35693.89-15684.45</f>
        <v>544182.41</v>
      </c>
      <c r="F50" s="22">
        <f>80489+35000</f>
        <v>115489</v>
      </c>
      <c r="G50" s="22">
        <f>80489</f>
        <v>80489</v>
      </c>
    </row>
    <row r="51" spans="1:7" ht="22.5" customHeight="1">
      <c r="A51" s="10" t="s">
        <v>12</v>
      </c>
      <c r="B51" s="9" t="s">
        <v>17</v>
      </c>
      <c r="C51" s="9" t="s">
        <v>136</v>
      </c>
      <c r="D51" s="9" t="s">
        <v>13</v>
      </c>
      <c r="E51" s="22">
        <f>6000+1.22-1000</f>
        <v>5001.22</v>
      </c>
      <c r="F51" s="22">
        <f>5000</f>
        <v>5000</v>
      </c>
      <c r="G51" s="22">
        <f>5000</f>
        <v>5000</v>
      </c>
    </row>
    <row r="52" spans="1:7" ht="87">
      <c r="A52" s="11" t="s">
        <v>100</v>
      </c>
      <c r="B52" s="8" t="s">
        <v>17</v>
      </c>
      <c r="C52" s="8" t="s">
        <v>133</v>
      </c>
      <c r="D52" s="8"/>
      <c r="E52" s="21">
        <f>E53+E54+E55</f>
        <v>61073</v>
      </c>
      <c r="F52" s="21">
        <f>F53+F54+F55</f>
        <v>0</v>
      </c>
      <c r="G52" s="21">
        <f>G53+G54+G55</f>
        <v>0</v>
      </c>
    </row>
    <row r="53" spans="1:7" ht="102" customHeight="1" hidden="1">
      <c r="A53" s="10" t="s">
        <v>5</v>
      </c>
      <c r="B53" s="9" t="s">
        <v>17</v>
      </c>
      <c r="C53" s="9" t="s">
        <v>133</v>
      </c>
      <c r="D53" s="9" t="s">
        <v>6</v>
      </c>
      <c r="E53" s="22"/>
      <c r="F53" s="22"/>
      <c r="G53" s="22"/>
    </row>
    <row r="54" spans="1:7" ht="54" hidden="1">
      <c r="A54" s="10" t="s">
        <v>9</v>
      </c>
      <c r="B54" s="9" t="s">
        <v>17</v>
      </c>
      <c r="C54" s="9" t="s">
        <v>133</v>
      </c>
      <c r="D54" s="9" t="s">
        <v>10</v>
      </c>
      <c r="E54" s="22"/>
      <c r="F54" s="22"/>
      <c r="G54" s="22"/>
    </row>
    <row r="55" spans="1:7" ht="33" customHeight="1">
      <c r="A55" s="10" t="s">
        <v>32</v>
      </c>
      <c r="B55" s="9" t="s">
        <v>17</v>
      </c>
      <c r="C55" s="9" t="s">
        <v>133</v>
      </c>
      <c r="D55" s="9" t="s">
        <v>33</v>
      </c>
      <c r="E55" s="22">
        <f>61073</f>
        <v>61073</v>
      </c>
      <c r="F55" s="22"/>
      <c r="G55" s="22"/>
    </row>
    <row r="56" spans="1:7" ht="69" hidden="1">
      <c r="A56" s="11" t="s">
        <v>102</v>
      </c>
      <c r="B56" s="8" t="s">
        <v>17</v>
      </c>
      <c r="C56" s="8" t="s">
        <v>135</v>
      </c>
      <c r="D56" s="8" t="s">
        <v>0</v>
      </c>
      <c r="E56" s="21">
        <f>SUM(E57:E59)</f>
        <v>0</v>
      </c>
      <c r="F56" s="21">
        <f>SUM(F57:F59)</f>
        <v>0</v>
      </c>
      <c r="G56" s="21">
        <f>SUM(G57:G59)</f>
        <v>0</v>
      </c>
    </row>
    <row r="57" spans="1:7" ht="144" hidden="1">
      <c r="A57" s="10" t="s">
        <v>5</v>
      </c>
      <c r="B57" s="9" t="s">
        <v>17</v>
      </c>
      <c r="C57" s="9" t="s">
        <v>11</v>
      </c>
      <c r="D57" s="9" t="s">
        <v>6</v>
      </c>
      <c r="E57" s="22"/>
      <c r="F57" s="22"/>
      <c r="G57" s="22"/>
    </row>
    <row r="58" spans="1:7" ht="54" hidden="1">
      <c r="A58" s="10" t="s">
        <v>9</v>
      </c>
      <c r="B58" s="9" t="s">
        <v>17</v>
      </c>
      <c r="C58" s="9" t="s">
        <v>11</v>
      </c>
      <c r="D58" s="9" t="s">
        <v>10</v>
      </c>
      <c r="E58" s="22"/>
      <c r="F58" s="22"/>
      <c r="G58" s="22"/>
    </row>
    <row r="59" spans="1:7" ht="18" hidden="1">
      <c r="A59" s="10" t="s">
        <v>12</v>
      </c>
      <c r="B59" s="9" t="s">
        <v>17</v>
      </c>
      <c r="C59" s="9" t="s">
        <v>135</v>
      </c>
      <c r="D59" s="9" t="s">
        <v>33</v>
      </c>
      <c r="E59" s="22"/>
      <c r="F59" s="22"/>
      <c r="G59" s="22"/>
    </row>
    <row r="60" spans="1:7" ht="34.5" hidden="1">
      <c r="A60" s="11" t="s">
        <v>18</v>
      </c>
      <c r="B60" s="8" t="s">
        <v>19</v>
      </c>
      <c r="C60" s="8" t="s">
        <v>135</v>
      </c>
      <c r="D60" s="8" t="s">
        <v>0</v>
      </c>
      <c r="E60" s="21">
        <f>E61</f>
        <v>0</v>
      </c>
      <c r="F60" s="21">
        <f>F61</f>
        <v>0</v>
      </c>
      <c r="G60" s="21">
        <f>G61</f>
        <v>0</v>
      </c>
    </row>
    <row r="61" spans="1:7" ht="69" hidden="1">
      <c r="A61" s="11" t="s">
        <v>102</v>
      </c>
      <c r="B61" s="8" t="s">
        <v>19</v>
      </c>
      <c r="C61" s="8" t="s">
        <v>135</v>
      </c>
      <c r="D61" s="8" t="s">
        <v>0</v>
      </c>
      <c r="E61" s="21">
        <f>E62+E63</f>
        <v>0</v>
      </c>
      <c r="F61" s="21">
        <f>F62+F63</f>
        <v>0</v>
      </c>
      <c r="G61" s="21">
        <f>G62+G63</f>
        <v>0</v>
      </c>
    </row>
    <row r="62" spans="1:7" ht="54" hidden="1">
      <c r="A62" s="10" t="s">
        <v>9</v>
      </c>
      <c r="B62" s="9" t="s">
        <v>19</v>
      </c>
      <c r="C62" s="9" t="s">
        <v>135</v>
      </c>
      <c r="D62" s="9" t="s">
        <v>10</v>
      </c>
      <c r="E62" s="22"/>
      <c r="F62" s="22"/>
      <c r="G62" s="22"/>
    </row>
    <row r="63" spans="1:7" ht="18" hidden="1">
      <c r="A63" s="10" t="s">
        <v>12</v>
      </c>
      <c r="B63" s="9" t="s">
        <v>19</v>
      </c>
      <c r="C63" s="9" t="s">
        <v>135</v>
      </c>
      <c r="D63" s="9" t="s">
        <v>13</v>
      </c>
      <c r="E63" s="22"/>
      <c r="F63" s="22"/>
      <c r="G63" s="22"/>
    </row>
    <row r="64" spans="1:7" ht="19.5" customHeight="1">
      <c r="A64" s="11" t="s">
        <v>20</v>
      </c>
      <c r="B64" s="8" t="s">
        <v>21</v>
      </c>
      <c r="C64" s="8"/>
      <c r="D64" s="8" t="s">
        <v>0</v>
      </c>
      <c r="E64" s="21">
        <f aca="true" t="shared" si="1" ref="E64:G65">E65</f>
        <v>150000</v>
      </c>
      <c r="F64" s="21">
        <f t="shared" si="1"/>
        <v>150000</v>
      </c>
      <c r="G64" s="21">
        <f t="shared" si="1"/>
        <v>150000</v>
      </c>
    </row>
    <row r="65" spans="1:7" ht="77.25" customHeight="1">
      <c r="A65" s="11" t="s">
        <v>102</v>
      </c>
      <c r="B65" s="8" t="s">
        <v>21</v>
      </c>
      <c r="C65" s="8" t="s">
        <v>135</v>
      </c>
      <c r="D65" s="8" t="s">
        <v>0</v>
      </c>
      <c r="E65" s="21">
        <f t="shared" si="1"/>
        <v>150000</v>
      </c>
      <c r="F65" s="21">
        <f t="shared" si="1"/>
        <v>150000</v>
      </c>
      <c r="G65" s="21">
        <f t="shared" si="1"/>
        <v>150000</v>
      </c>
    </row>
    <row r="66" spans="1:7" ht="18">
      <c r="A66" s="10" t="s">
        <v>12</v>
      </c>
      <c r="B66" s="9" t="s">
        <v>21</v>
      </c>
      <c r="C66" s="9" t="s">
        <v>135</v>
      </c>
      <c r="D66" s="9" t="s">
        <v>13</v>
      </c>
      <c r="E66" s="22">
        <f>150000</f>
        <v>150000</v>
      </c>
      <c r="F66" s="22">
        <f>150000</f>
        <v>150000</v>
      </c>
      <c r="G66" s="22">
        <f>150000</f>
        <v>150000</v>
      </c>
    </row>
    <row r="67" spans="1:7" ht="42" customHeight="1">
      <c r="A67" s="11" t="s">
        <v>22</v>
      </c>
      <c r="B67" s="8" t="s">
        <v>23</v>
      </c>
      <c r="C67" s="8" t="s">
        <v>0</v>
      </c>
      <c r="D67" s="8" t="s">
        <v>0</v>
      </c>
      <c r="E67" s="21">
        <f>E68+E73+E76+E80+E84</f>
        <v>32772162.169999998</v>
      </c>
      <c r="F67" s="21">
        <f>F68+F73+F76+F80+F84</f>
        <v>31775790</v>
      </c>
      <c r="G67" s="21">
        <f>G68+G73+G76+G80+G84</f>
        <v>35200845</v>
      </c>
    </row>
    <row r="68" spans="1:7" ht="150" customHeight="1">
      <c r="A68" s="11" t="s">
        <v>178</v>
      </c>
      <c r="B68" s="8" t="s">
        <v>23</v>
      </c>
      <c r="C68" s="8" t="s">
        <v>134</v>
      </c>
      <c r="D68" s="8" t="s">
        <v>0</v>
      </c>
      <c r="E68" s="21">
        <f>SUM(E69:E72)</f>
        <v>23510302.14</v>
      </c>
      <c r="F68" s="21">
        <f>SUM(F69:F72)</f>
        <v>12165780</v>
      </c>
      <c r="G68" s="21">
        <f>SUM(G69:G72)</f>
        <v>11566610</v>
      </c>
    </row>
    <row r="69" spans="1:7" ht="126" customHeight="1">
      <c r="A69" s="10" t="s">
        <v>5</v>
      </c>
      <c r="B69" s="9" t="s">
        <v>23</v>
      </c>
      <c r="C69" s="9" t="s">
        <v>134</v>
      </c>
      <c r="D69" s="9" t="s">
        <v>6</v>
      </c>
      <c r="E69" s="22">
        <f>7365190+591461+978756-0.02+933735+307522.66</f>
        <v>10176664.64</v>
      </c>
      <c r="F69" s="22">
        <f>8315190</f>
        <v>8315190</v>
      </c>
      <c r="G69" s="22">
        <f>8315190</f>
        <v>8315190</v>
      </c>
    </row>
    <row r="70" spans="1:7" ht="56.25" customHeight="1">
      <c r="A70" s="10" t="s">
        <v>9</v>
      </c>
      <c r="B70" s="9" t="s">
        <v>23</v>
      </c>
      <c r="C70" s="9" t="s">
        <v>134</v>
      </c>
      <c r="D70" s="9" t="s">
        <v>10</v>
      </c>
      <c r="E70" s="22">
        <f>5117385+8340527+17632-100-600000+400000+322500-6500-305307.92</f>
        <v>13286136.08</v>
      </c>
      <c r="F70" s="22">
        <f>11203129+591461-8000000</f>
        <v>3794590</v>
      </c>
      <c r="G70" s="22">
        <f>13603959+591461-11000000</f>
        <v>3195420</v>
      </c>
    </row>
    <row r="71" spans="1:7" ht="36" hidden="1">
      <c r="A71" s="10" t="s">
        <v>32</v>
      </c>
      <c r="B71" s="9" t="s">
        <v>23</v>
      </c>
      <c r="C71" s="9" t="s">
        <v>134</v>
      </c>
      <c r="D71" s="9" t="s">
        <v>33</v>
      </c>
      <c r="E71" s="22"/>
      <c r="F71" s="22"/>
      <c r="G71" s="22"/>
    </row>
    <row r="72" spans="1:7" ht="28.5" customHeight="1">
      <c r="A72" s="10" t="s">
        <v>12</v>
      </c>
      <c r="B72" s="9" t="s">
        <v>23</v>
      </c>
      <c r="C72" s="9" t="s">
        <v>134</v>
      </c>
      <c r="D72" s="9" t="s">
        <v>13</v>
      </c>
      <c r="E72" s="22">
        <f>56000+100-6137.5-2461.08</f>
        <v>47501.42</v>
      </c>
      <c r="F72" s="22">
        <f>56000</f>
        <v>56000</v>
      </c>
      <c r="G72" s="22">
        <f>56000</f>
        <v>56000</v>
      </c>
    </row>
    <row r="73" spans="1:7" ht="126.75" customHeight="1">
      <c r="A73" s="11" t="s">
        <v>180</v>
      </c>
      <c r="B73" s="8" t="s">
        <v>23</v>
      </c>
      <c r="C73" s="8" t="s">
        <v>137</v>
      </c>
      <c r="D73" s="8"/>
      <c r="E73" s="21">
        <f>E74+E75</f>
        <v>1205962.0599999998</v>
      </c>
      <c r="F73" s="21">
        <f>F74+F75</f>
        <v>914576</v>
      </c>
      <c r="G73" s="21">
        <f>G74+G75</f>
        <v>914576</v>
      </c>
    </row>
    <row r="74" spans="1:7" ht="66" customHeight="1">
      <c r="A74" s="10" t="s">
        <v>9</v>
      </c>
      <c r="B74" s="9" t="s">
        <v>23</v>
      </c>
      <c r="C74" s="9" t="s">
        <v>137</v>
      </c>
      <c r="D74" s="9" t="s">
        <v>10</v>
      </c>
      <c r="E74" s="22">
        <f>914576+568000-23-2.82-276612.31</f>
        <v>1205937.8699999999</v>
      </c>
      <c r="F74" s="22">
        <f>914576</f>
        <v>914576</v>
      </c>
      <c r="G74" s="22">
        <f>914576</f>
        <v>914576</v>
      </c>
    </row>
    <row r="75" spans="1:7" ht="18">
      <c r="A75" s="10" t="s">
        <v>12</v>
      </c>
      <c r="B75" s="9" t="s">
        <v>23</v>
      </c>
      <c r="C75" s="9" t="s">
        <v>137</v>
      </c>
      <c r="D75" s="9" t="s">
        <v>13</v>
      </c>
      <c r="E75" s="22">
        <f>23+2.82-1.63</f>
        <v>24.19</v>
      </c>
      <c r="F75" s="22"/>
      <c r="G75" s="22"/>
    </row>
    <row r="76" spans="1:7" ht="144.75" customHeight="1">
      <c r="A76" s="11" t="s">
        <v>181</v>
      </c>
      <c r="B76" s="8" t="s">
        <v>23</v>
      </c>
      <c r="C76" s="8" t="s">
        <v>161</v>
      </c>
      <c r="D76" s="8"/>
      <c r="E76" s="21">
        <f>SUM(E77:E79)</f>
        <v>7130275.95</v>
      </c>
      <c r="F76" s="21">
        <f>SUM(F77:F79)</f>
        <v>5990074</v>
      </c>
      <c r="G76" s="21">
        <f>SUM(G77:G79)</f>
        <v>5990074</v>
      </c>
    </row>
    <row r="77" spans="1:7" ht="155.25" customHeight="1">
      <c r="A77" s="10" t="s">
        <v>5</v>
      </c>
      <c r="B77" s="9" t="s">
        <v>23</v>
      </c>
      <c r="C77" s="9" t="s">
        <v>161</v>
      </c>
      <c r="D77" s="9" t="s">
        <v>6</v>
      </c>
      <c r="E77" s="22">
        <f>5776871+315568+153890.15</f>
        <v>6246329.15</v>
      </c>
      <c r="F77" s="22">
        <f>5776871</f>
        <v>5776871</v>
      </c>
      <c r="G77" s="22">
        <f>5776871</f>
        <v>5776871</v>
      </c>
    </row>
    <row r="78" spans="1:7" ht="52.5" customHeight="1">
      <c r="A78" s="10" t="s">
        <v>9</v>
      </c>
      <c r="B78" s="9" t="s">
        <v>23</v>
      </c>
      <c r="C78" s="9" t="s">
        <v>161</v>
      </c>
      <c r="D78" s="9" t="s">
        <v>10</v>
      </c>
      <c r="E78" s="22">
        <f>657773+34173.8+70000+64000+58000</f>
        <v>883946.8</v>
      </c>
      <c r="F78" s="22">
        <f>213203</f>
        <v>213203</v>
      </c>
      <c r="G78" s="22">
        <f>213203</f>
        <v>213203</v>
      </c>
    </row>
    <row r="79" spans="1:7" ht="18" hidden="1">
      <c r="A79" s="10" t="s">
        <v>12</v>
      </c>
      <c r="B79" s="9" t="s">
        <v>23</v>
      </c>
      <c r="C79" s="9" t="s">
        <v>161</v>
      </c>
      <c r="D79" s="9" t="s">
        <v>13</v>
      </c>
      <c r="E79" s="22"/>
      <c r="F79" s="22"/>
      <c r="G79" s="22"/>
    </row>
    <row r="80" spans="1:7" ht="87" hidden="1">
      <c r="A80" s="11" t="s">
        <v>100</v>
      </c>
      <c r="B80" s="8" t="s">
        <v>23</v>
      </c>
      <c r="C80" s="8" t="s">
        <v>133</v>
      </c>
      <c r="D80" s="8" t="s">
        <v>0</v>
      </c>
      <c r="E80" s="21">
        <f>E81+E82+E83</f>
        <v>0</v>
      </c>
      <c r="F80" s="21">
        <f>F81+F82+F83</f>
        <v>0</v>
      </c>
      <c r="G80" s="21">
        <f>G81+G82+G83</f>
        <v>0</v>
      </c>
    </row>
    <row r="81" spans="1:7" ht="0.75" customHeight="1" hidden="1">
      <c r="A81" s="10" t="s">
        <v>5</v>
      </c>
      <c r="B81" s="9" t="s">
        <v>23</v>
      </c>
      <c r="C81" s="9" t="s">
        <v>133</v>
      </c>
      <c r="D81" s="9" t="s">
        <v>6</v>
      </c>
      <c r="E81" s="22"/>
      <c r="F81" s="22"/>
      <c r="G81" s="22"/>
    </row>
    <row r="82" spans="1:7" ht="54" hidden="1">
      <c r="A82" s="10" t="s">
        <v>9</v>
      </c>
      <c r="B82" s="9" t="s">
        <v>23</v>
      </c>
      <c r="C82" s="9" t="s">
        <v>133</v>
      </c>
      <c r="D82" s="9" t="s">
        <v>10</v>
      </c>
      <c r="E82" s="22"/>
      <c r="F82" s="22"/>
      <c r="G82" s="22"/>
    </row>
    <row r="83" spans="1:7" ht="18" hidden="1">
      <c r="A83" s="10" t="s">
        <v>12</v>
      </c>
      <c r="B83" s="9" t="s">
        <v>23</v>
      </c>
      <c r="C83" s="9" t="s">
        <v>133</v>
      </c>
      <c r="D83" s="9" t="s">
        <v>13</v>
      </c>
      <c r="E83" s="22"/>
      <c r="F83" s="22"/>
      <c r="G83" s="22"/>
    </row>
    <row r="84" spans="1:7" ht="69">
      <c r="A84" s="11" t="s">
        <v>101</v>
      </c>
      <c r="B84" s="8" t="s">
        <v>23</v>
      </c>
      <c r="C84" s="8" t="s">
        <v>135</v>
      </c>
      <c r="D84" s="8" t="s">
        <v>0</v>
      </c>
      <c r="E84" s="21">
        <f>E85+E86+E87+E88+E89+E90</f>
        <v>925622.02</v>
      </c>
      <c r="F84" s="21">
        <f>F85+F86+F87+F88+F89+F90</f>
        <v>12705360</v>
      </c>
      <c r="G84" s="21">
        <f>SUM(G85:G90)</f>
        <v>16729585</v>
      </c>
    </row>
    <row r="85" spans="1:7" ht="129" customHeight="1">
      <c r="A85" s="10" t="s">
        <v>5</v>
      </c>
      <c r="B85" s="9" t="s">
        <v>23</v>
      </c>
      <c r="C85" s="9" t="s">
        <v>135</v>
      </c>
      <c r="D85" s="9" t="s">
        <v>6</v>
      </c>
      <c r="E85" s="22">
        <f>826935+86865-88800-3100</f>
        <v>821900</v>
      </c>
      <c r="F85" s="22">
        <f>822936</f>
        <v>822936</v>
      </c>
      <c r="G85" s="22">
        <f>822936</f>
        <v>822936</v>
      </c>
    </row>
    <row r="86" spans="1:7" ht="56.25" customHeight="1">
      <c r="A86" s="10" t="s">
        <v>9</v>
      </c>
      <c r="B86" s="9" t="s">
        <v>23</v>
      </c>
      <c r="C86" s="9" t="s">
        <v>135</v>
      </c>
      <c r="D86" s="9" t="s">
        <v>10</v>
      </c>
      <c r="E86" s="22">
        <f>3100</f>
        <v>3100</v>
      </c>
      <c r="F86" s="22">
        <f>89164</f>
        <v>89164</v>
      </c>
      <c r="G86" s="22">
        <f>113864</f>
        <v>113864</v>
      </c>
    </row>
    <row r="87" spans="1:7" ht="61.5" customHeight="1" hidden="1">
      <c r="A87" s="10" t="s">
        <v>32</v>
      </c>
      <c r="B87" s="9" t="s">
        <v>23</v>
      </c>
      <c r="C87" s="9" t="s">
        <v>11</v>
      </c>
      <c r="D87" s="9" t="s">
        <v>33</v>
      </c>
      <c r="E87" s="22"/>
      <c r="F87" s="22"/>
      <c r="G87" s="22"/>
    </row>
    <row r="88" spans="1:7" ht="51" customHeight="1" hidden="1">
      <c r="A88" s="10" t="s">
        <v>24</v>
      </c>
      <c r="B88" s="9" t="s">
        <v>23</v>
      </c>
      <c r="C88" s="9" t="s">
        <v>11</v>
      </c>
      <c r="D88" s="9" t="s">
        <v>25</v>
      </c>
      <c r="E88" s="22"/>
      <c r="F88" s="22"/>
      <c r="G88" s="22"/>
    </row>
    <row r="89" spans="1:7" ht="39.75" customHeight="1" hidden="1">
      <c r="A89" s="10" t="s">
        <v>26</v>
      </c>
      <c r="B89" s="9" t="s">
        <v>23</v>
      </c>
      <c r="C89" s="9" t="s">
        <v>135</v>
      </c>
      <c r="D89" s="9" t="s">
        <v>27</v>
      </c>
      <c r="E89" s="22"/>
      <c r="F89" s="22"/>
      <c r="G89" s="22"/>
    </row>
    <row r="90" spans="1:7" ht="27.75" customHeight="1">
      <c r="A90" s="10" t="s">
        <v>12</v>
      </c>
      <c r="B90" s="9" t="s">
        <v>23</v>
      </c>
      <c r="C90" s="9" t="s">
        <v>135</v>
      </c>
      <c r="D90" s="9" t="s">
        <v>13</v>
      </c>
      <c r="E90" s="22">
        <f>49553+50000+0.02-100+3000-100-1731</f>
        <v>100622.02</v>
      </c>
      <c r="F90" s="22">
        <f>13260+8000000-1200000+4980000</f>
        <v>11793260</v>
      </c>
      <c r="G90" s="22">
        <f>13260+11000000+4779525</f>
        <v>15792785</v>
      </c>
    </row>
    <row r="91" spans="1:7" s="19" customFormat="1" ht="69">
      <c r="A91" s="11" t="s">
        <v>119</v>
      </c>
      <c r="B91" s="8" t="s">
        <v>121</v>
      </c>
      <c r="C91" s="9"/>
      <c r="D91" s="9"/>
      <c r="E91" s="21">
        <f>E92+E95</f>
        <v>576636</v>
      </c>
      <c r="F91" s="21">
        <f>F92+F95</f>
        <v>566636</v>
      </c>
      <c r="G91" s="21">
        <f>G92+G95</f>
        <v>566636</v>
      </c>
    </row>
    <row r="92" spans="1:7" ht="90" customHeight="1">
      <c r="A92" s="11" t="s">
        <v>201</v>
      </c>
      <c r="B92" s="8" t="s">
        <v>202</v>
      </c>
      <c r="C92" s="9"/>
      <c r="D92" s="9"/>
      <c r="E92" s="21">
        <f aca="true" t="shared" si="2" ref="E92:G93">E93</f>
        <v>566636</v>
      </c>
      <c r="F92" s="21">
        <f t="shared" si="2"/>
        <v>566636</v>
      </c>
      <c r="G92" s="21">
        <f t="shared" si="2"/>
        <v>566636</v>
      </c>
    </row>
    <row r="93" spans="1:7" ht="81.75" customHeight="1">
      <c r="A93" s="11" t="s">
        <v>101</v>
      </c>
      <c r="B93" s="8" t="s">
        <v>202</v>
      </c>
      <c r="C93" s="8" t="s">
        <v>135</v>
      </c>
      <c r="D93" s="8" t="s">
        <v>0</v>
      </c>
      <c r="E93" s="21">
        <f t="shared" si="2"/>
        <v>566636</v>
      </c>
      <c r="F93" s="21">
        <f t="shared" si="2"/>
        <v>566636</v>
      </c>
      <c r="G93" s="21">
        <f t="shared" si="2"/>
        <v>566636</v>
      </c>
    </row>
    <row r="94" spans="1:7" ht="56.25" customHeight="1">
      <c r="A94" s="10" t="s">
        <v>9</v>
      </c>
      <c r="B94" s="9" t="s">
        <v>202</v>
      </c>
      <c r="C94" s="9" t="s">
        <v>135</v>
      </c>
      <c r="D94" s="9" t="s">
        <v>10</v>
      </c>
      <c r="E94" s="22">
        <f>566636</f>
        <v>566636</v>
      </c>
      <c r="F94" s="22">
        <f>566636</f>
        <v>566636</v>
      </c>
      <c r="G94" s="22">
        <f>566636</f>
        <v>566636</v>
      </c>
    </row>
    <row r="95" spans="1:7" ht="69">
      <c r="A95" s="11" t="s">
        <v>120</v>
      </c>
      <c r="B95" s="8" t="s">
        <v>122</v>
      </c>
      <c r="C95" s="9"/>
      <c r="D95" s="9"/>
      <c r="E95" s="21">
        <f>E96+E98</f>
        <v>10000</v>
      </c>
      <c r="F95" s="21">
        <f>F96+F98</f>
        <v>0</v>
      </c>
      <c r="G95" s="21">
        <f>G96+G98</f>
        <v>0</v>
      </c>
    </row>
    <row r="96" spans="1:7" ht="87">
      <c r="A96" s="11" t="s">
        <v>182</v>
      </c>
      <c r="B96" s="8" t="s">
        <v>122</v>
      </c>
      <c r="C96" s="8" t="s">
        <v>138</v>
      </c>
      <c r="D96" s="8"/>
      <c r="E96" s="21">
        <f>E97</f>
        <v>10000</v>
      </c>
      <c r="F96" s="21">
        <f>F97</f>
        <v>0</v>
      </c>
      <c r="G96" s="21">
        <f>G97</f>
        <v>0</v>
      </c>
    </row>
    <row r="97" spans="1:7" ht="132.75" customHeight="1">
      <c r="A97" s="10" t="s">
        <v>5</v>
      </c>
      <c r="B97" s="9" t="s">
        <v>122</v>
      </c>
      <c r="C97" s="9" t="s">
        <v>138</v>
      </c>
      <c r="D97" s="9" t="s">
        <v>6</v>
      </c>
      <c r="E97" s="22">
        <f>10000</f>
        <v>10000</v>
      </c>
      <c r="F97" s="22"/>
      <c r="G97" s="22"/>
    </row>
    <row r="98" spans="1:7" s="25" customFormat="1" ht="69" hidden="1">
      <c r="A98" s="11" t="s">
        <v>101</v>
      </c>
      <c r="B98" s="8" t="s">
        <v>122</v>
      </c>
      <c r="C98" s="8" t="s">
        <v>149</v>
      </c>
      <c r="D98" s="8"/>
      <c r="E98" s="21">
        <f>E99</f>
        <v>0</v>
      </c>
      <c r="F98" s="21">
        <f>F99</f>
        <v>0</v>
      </c>
      <c r="G98" s="21">
        <f>G99</f>
        <v>0</v>
      </c>
    </row>
    <row r="99" spans="1:7" ht="129.75" customHeight="1" hidden="1">
      <c r="A99" s="10" t="s">
        <v>5</v>
      </c>
      <c r="B99" s="9" t="s">
        <v>122</v>
      </c>
      <c r="C99" s="9" t="s">
        <v>149</v>
      </c>
      <c r="D99" s="9" t="s">
        <v>6</v>
      </c>
      <c r="E99" s="22"/>
      <c r="F99" s="22"/>
      <c r="G99" s="22"/>
    </row>
    <row r="100" spans="1:7" ht="34.5">
      <c r="A100" s="11" t="s">
        <v>34</v>
      </c>
      <c r="B100" s="8" t="s">
        <v>35</v>
      </c>
      <c r="C100" s="8" t="s">
        <v>0</v>
      </c>
      <c r="D100" s="8" t="s">
        <v>0</v>
      </c>
      <c r="E100" s="21">
        <f>E101+E107+E111+E117</f>
        <v>15127776.6</v>
      </c>
      <c r="F100" s="21">
        <f>F101+F107+F111+F117</f>
        <v>4783900</v>
      </c>
      <c r="G100" s="21">
        <f>G101+G107+G111+G117</f>
        <v>4874200</v>
      </c>
    </row>
    <row r="101" spans="1:7" ht="34.5">
      <c r="A101" s="11" t="s">
        <v>36</v>
      </c>
      <c r="B101" s="8" t="s">
        <v>37</v>
      </c>
      <c r="C101" s="8" t="s">
        <v>0</v>
      </c>
      <c r="D101" s="8" t="s">
        <v>0</v>
      </c>
      <c r="E101" s="21">
        <f>E102+E104</f>
        <v>141395.15</v>
      </c>
      <c r="F101" s="21">
        <f>F102+F104</f>
        <v>123000</v>
      </c>
      <c r="G101" s="21">
        <f>G102+G104</f>
        <v>123000</v>
      </c>
    </row>
    <row r="102" spans="1:7" ht="104.25">
      <c r="A102" s="11" t="s">
        <v>206</v>
      </c>
      <c r="B102" s="8" t="s">
        <v>37</v>
      </c>
      <c r="C102" s="8" t="s">
        <v>207</v>
      </c>
      <c r="D102" s="8" t="s">
        <v>0</v>
      </c>
      <c r="E102" s="21">
        <f>E103</f>
        <v>18395.149999999994</v>
      </c>
      <c r="F102" s="21">
        <f>F103</f>
        <v>0</v>
      </c>
      <c r="G102" s="21">
        <f>G103</f>
        <v>0</v>
      </c>
    </row>
    <row r="103" spans="1:7" ht="54">
      <c r="A103" s="10" t="s">
        <v>9</v>
      </c>
      <c r="B103" s="9" t="s">
        <v>37</v>
      </c>
      <c r="C103" s="9" t="s">
        <v>207</v>
      </c>
      <c r="D103" s="9" t="s">
        <v>10</v>
      </c>
      <c r="E103" s="22">
        <f>114040+114.15-95759</f>
        <v>18395.149999999994</v>
      </c>
      <c r="F103" s="22"/>
      <c r="G103" s="22"/>
    </row>
    <row r="104" spans="1:7" ht="69">
      <c r="A104" s="11" t="s">
        <v>101</v>
      </c>
      <c r="B104" s="8" t="s">
        <v>37</v>
      </c>
      <c r="C104" s="8" t="s">
        <v>135</v>
      </c>
      <c r="D104" s="8" t="s">
        <v>0</v>
      </c>
      <c r="E104" s="21">
        <f>E106+E105</f>
        <v>123000</v>
      </c>
      <c r="F104" s="21">
        <f>F106+F105</f>
        <v>123000</v>
      </c>
      <c r="G104" s="21">
        <f>G106+G105</f>
        <v>123000</v>
      </c>
    </row>
    <row r="105" spans="1:7" ht="60.75" customHeight="1">
      <c r="A105" s="10" t="s">
        <v>9</v>
      </c>
      <c r="B105" s="9" t="s">
        <v>37</v>
      </c>
      <c r="C105" s="9" t="s">
        <v>135</v>
      </c>
      <c r="D105" s="9" t="s">
        <v>10</v>
      </c>
      <c r="E105" s="22">
        <f>123000</f>
        <v>123000</v>
      </c>
      <c r="F105" s="22">
        <f>123000</f>
        <v>123000</v>
      </c>
      <c r="G105" s="22">
        <f>123000</f>
        <v>123000</v>
      </c>
    </row>
    <row r="106" spans="1:7" ht="18" hidden="1">
      <c r="A106" s="10" t="s">
        <v>12</v>
      </c>
      <c r="B106" s="9" t="s">
        <v>37</v>
      </c>
      <c r="C106" s="9" t="s">
        <v>11</v>
      </c>
      <c r="D106" s="9" t="s">
        <v>13</v>
      </c>
      <c r="E106" s="22"/>
      <c r="F106" s="22"/>
      <c r="G106" s="22"/>
    </row>
    <row r="107" spans="1:7" ht="17.25" hidden="1">
      <c r="A107" s="11" t="s">
        <v>38</v>
      </c>
      <c r="B107" s="8" t="s">
        <v>39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101</v>
      </c>
      <c r="B108" s="8" t="s">
        <v>39</v>
      </c>
      <c r="C108" s="8" t="s">
        <v>11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9</v>
      </c>
      <c r="B109" s="9" t="s">
        <v>39</v>
      </c>
      <c r="C109" s="9" t="s">
        <v>11</v>
      </c>
      <c r="D109" s="9" t="s">
        <v>10</v>
      </c>
      <c r="E109" s="22"/>
      <c r="F109" s="22"/>
      <c r="G109" s="22"/>
    </row>
    <row r="110" spans="1:7" ht="72" hidden="1">
      <c r="A110" s="10" t="s">
        <v>30</v>
      </c>
      <c r="B110" s="9" t="s">
        <v>39</v>
      </c>
      <c r="C110" s="9" t="s">
        <v>11</v>
      </c>
      <c r="D110" s="9" t="s">
        <v>31</v>
      </c>
      <c r="E110" s="22"/>
      <c r="F110" s="22"/>
      <c r="G110" s="22"/>
    </row>
    <row r="111" spans="1:7" ht="34.5">
      <c r="A111" s="11" t="s">
        <v>41</v>
      </c>
      <c r="B111" s="8" t="s">
        <v>42</v>
      </c>
      <c r="C111" s="8" t="s">
        <v>0</v>
      </c>
      <c r="D111" s="8" t="s">
        <v>0</v>
      </c>
      <c r="E111" s="21">
        <f>E112+E114</f>
        <v>14924381.45</v>
      </c>
      <c r="F111" s="21">
        <f>F112+F114</f>
        <v>4660900</v>
      </c>
      <c r="G111" s="21">
        <f>G112+G114</f>
        <v>4751200</v>
      </c>
    </row>
    <row r="112" spans="1:7" ht="141" customHeight="1">
      <c r="A112" s="11" t="s">
        <v>194</v>
      </c>
      <c r="B112" s="8" t="s">
        <v>42</v>
      </c>
      <c r="C112" s="8" t="s">
        <v>195</v>
      </c>
      <c r="D112" s="8" t="s">
        <v>0</v>
      </c>
      <c r="E112" s="21">
        <f>E113</f>
        <v>6583767.45</v>
      </c>
      <c r="F112" s="21">
        <f>F113</f>
        <v>0</v>
      </c>
      <c r="G112" s="21">
        <f>G113</f>
        <v>0</v>
      </c>
    </row>
    <row r="113" spans="1:7" ht="54">
      <c r="A113" s="10" t="s">
        <v>9</v>
      </c>
      <c r="B113" s="9" t="s">
        <v>42</v>
      </c>
      <c r="C113" s="9" t="s">
        <v>195</v>
      </c>
      <c r="D113" s="9" t="s">
        <v>10</v>
      </c>
      <c r="E113" s="22">
        <f>8080809-1296381.03-200660.52</f>
        <v>6583767.45</v>
      </c>
      <c r="F113" s="22"/>
      <c r="G113" s="22"/>
    </row>
    <row r="114" spans="1:7" ht="69">
      <c r="A114" s="11" t="s">
        <v>101</v>
      </c>
      <c r="B114" s="8" t="s">
        <v>42</v>
      </c>
      <c r="C114" s="8" t="s">
        <v>135</v>
      </c>
      <c r="D114" s="8"/>
      <c r="E114" s="21">
        <f>E115+E116</f>
        <v>8340614</v>
      </c>
      <c r="F114" s="21">
        <f>F115+F116</f>
        <v>4660900</v>
      </c>
      <c r="G114" s="21">
        <f>G115+G116</f>
        <v>4751200</v>
      </c>
    </row>
    <row r="115" spans="1:7" ht="57" customHeight="1">
      <c r="A115" s="10" t="s">
        <v>9</v>
      </c>
      <c r="B115" s="9" t="s">
        <v>42</v>
      </c>
      <c r="C115" s="9" t="s">
        <v>135</v>
      </c>
      <c r="D115" s="9" t="s">
        <v>10</v>
      </c>
      <c r="E115" s="22">
        <f>4659900+4040404+423596-1132000-200686+549400</f>
        <v>8340614</v>
      </c>
      <c r="F115" s="22">
        <f>4660900</f>
        <v>4660900</v>
      </c>
      <c r="G115" s="22">
        <f>4751200</f>
        <v>4751200</v>
      </c>
    </row>
    <row r="116" spans="1:7" ht="18" hidden="1">
      <c r="A116" s="10"/>
      <c r="B116" s="9" t="s">
        <v>42</v>
      </c>
      <c r="C116" s="9" t="s">
        <v>135</v>
      </c>
      <c r="D116" s="9" t="s">
        <v>31</v>
      </c>
      <c r="E116" s="22"/>
      <c r="F116" s="22"/>
      <c r="G116" s="22"/>
    </row>
    <row r="117" spans="1:7" ht="34.5">
      <c r="A117" s="11" t="s">
        <v>43</v>
      </c>
      <c r="B117" s="8" t="s">
        <v>44</v>
      </c>
      <c r="C117" s="8" t="s">
        <v>0</v>
      </c>
      <c r="D117" s="8" t="s">
        <v>0</v>
      </c>
      <c r="E117" s="21">
        <f>E118+E120</f>
        <v>62000</v>
      </c>
      <c r="F117" s="21">
        <f>F118+F120</f>
        <v>0</v>
      </c>
      <c r="G117" s="21">
        <f>G118+G120</f>
        <v>0</v>
      </c>
    </row>
    <row r="118" spans="1:7" ht="145.5" customHeight="1">
      <c r="A118" s="11" t="s">
        <v>178</v>
      </c>
      <c r="B118" s="8" t="s">
        <v>44</v>
      </c>
      <c r="C118" s="8" t="s">
        <v>197</v>
      </c>
      <c r="D118" s="8" t="s">
        <v>0</v>
      </c>
      <c r="E118" s="21">
        <f>E119</f>
        <v>62000</v>
      </c>
      <c r="F118" s="21">
        <f>F119</f>
        <v>0</v>
      </c>
      <c r="G118" s="21">
        <f>G119</f>
        <v>0</v>
      </c>
    </row>
    <row r="119" spans="1:7" ht="57" customHeight="1">
      <c r="A119" s="10" t="s">
        <v>9</v>
      </c>
      <c r="B119" s="9" t="s">
        <v>44</v>
      </c>
      <c r="C119" s="9" t="s">
        <v>197</v>
      </c>
      <c r="D119" s="9" t="s">
        <v>10</v>
      </c>
      <c r="E119" s="22">
        <f>400000-338000</f>
        <v>62000</v>
      </c>
      <c r="F119" s="22"/>
      <c r="G119" s="22"/>
    </row>
    <row r="120" spans="1:7" ht="63" customHeight="1" hidden="1">
      <c r="A120" s="11" t="s">
        <v>101</v>
      </c>
      <c r="B120" s="8" t="s">
        <v>44</v>
      </c>
      <c r="C120" s="8" t="s">
        <v>149</v>
      </c>
      <c r="D120" s="8"/>
      <c r="E120" s="21">
        <f>E121</f>
        <v>0</v>
      </c>
      <c r="F120" s="21">
        <f>F121</f>
        <v>0</v>
      </c>
      <c r="G120" s="21">
        <f>G121</f>
        <v>0</v>
      </c>
    </row>
    <row r="121" spans="1:7" ht="63" customHeight="1" hidden="1">
      <c r="A121" s="10" t="s">
        <v>9</v>
      </c>
      <c r="B121" s="9" t="s">
        <v>44</v>
      </c>
      <c r="C121" s="9" t="s">
        <v>149</v>
      </c>
      <c r="D121" s="9" t="s">
        <v>10</v>
      </c>
      <c r="E121" s="22"/>
      <c r="F121" s="22"/>
      <c r="G121" s="22"/>
    </row>
    <row r="122" spans="1:7" ht="55.5" customHeight="1">
      <c r="A122" s="11" t="s">
        <v>45</v>
      </c>
      <c r="B122" s="8" t="s">
        <v>46</v>
      </c>
      <c r="C122" s="8" t="s">
        <v>0</v>
      </c>
      <c r="D122" s="8" t="s">
        <v>0</v>
      </c>
      <c r="E122" s="21">
        <f>E123+E126+E134</f>
        <v>16315534</v>
      </c>
      <c r="F122" s="21">
        <f>F123+F126+F134</f>
        <v>5148100</v>
      </c>
      <c r="G122" s="21">
        <f>G123+G126+G134</f>
        <v>5128000</v>
      </c>
    </row>
    <row r="123" spans="1:7" ht="0.75" customHeight="1" hidden="1">
      <c r="A123" s="11" t="s">
        <v>47</v>
      </c>
      <c r="B123" s="8" t="s">
        <v>48</v>
      </c>
      <c r="C123" s="8" t="s">
        <v>0</v>
      </c>
      <c r="D123" s="8" t="s">
        <v>0</v>
      </c>
      <c r="E123" s="21">
        <f aca="true" t="shared" si="3" ref="E123:G124">E124</f>
        <v>0</v>
      </c>
      <c r="F123" s="21">
        <f t="shared" si="3"/>
        <v>0</v>
      </c>
      <c r="G123" s="21">
        <f t="shared" si="3"/>
        <v>0</v>
      </c>
    </row>
    <row r="124" spans="1:7" ht="69" hidden="1">
      <c r="A124" s="11" t="s">
        <v>101</v>
      </c>
      <c r="B124" s="8" t="s">
        <v>48</v>
      </c>
      <c r="C124" s="8" t="s">
        <v>11</v>
      </c>
      <c r="D124" s="8" t="s">
        <v>0</v>
      </c>
      <c r="E124" s="21">
        <f t="shared" si="3"/>
        <v>0</v>
      </c>
      <c r="F124" s="21">
        <f t="shared" si="3"/>
        <v>0</v>
      </c>
      <c r="G124" s="21">
        <f t="shared" si="3"/>
        <v>0</v>
      </c>
    </row>
    <row r="125" spans="1:7" ht="18" hidden="1">
      <c r="A125" s="10" t="s">
        <v>24</v>
      </c>
      <c r="B125" s="9" t="s">
        <v>48</v>
      </c>
      <c r="C125" s="9" t="s">
        <v>11</v>
      </c>
      <c r="D125" s="9" t="s">
        <v>25</v>
      </c>
      <c r="E125" s="22"/>
      <c r="F125" s="22"/>
      <c r="G125" s="22"/>
    </row>
    <row r="126" spans="1:7" ht="17.25">
      <c r="A126" s="11" t="s">
        <v>49</v>
      </c>
      <c r="B126" s="8" t="s">
        <v>50</v>
      </c>
      <c r="C126" s="8" t="s">
        <v>0</v>
      </c>
      <c r="D126" s="8" t="s">
        <v>0</v>
      </c>
      <c r="E126" s="21">
        <f>E130+E127</f>
        <v>15497300</v>
      </c>
      <c r="F126" s="21">
        <f>F130+F127</f>
        <v>4447100</v>
      </c>
      <c r="G126" s="21">
        <f>G130+G127</f>
        <v>4427000</v>
      </c>
    </row>
    <row r="127" spans="1:7" ht="120.75" customHeight="1">
      <c r="A127" s="11" t="s">
        <v>183</v>
      </c>
      <c r="B127" s="8" t="s">
        <v>50</v>
      </c>
      <c r="C127" s="8" t="s">
        <v>153</v>
      </c>
      <c r="D127" s="8"/>
      <c r="E127" s="21">
        <f>E129+E128</f>
        <v>9810000</v>
      </c>
      <c r="F127" s="21">
        <f>F129+F128</f>
        <v>1000000</v>
      </c>
      <c r="G127" s="21">
        <f>G129+G128</f>
        <v>1000000</v>
      </c>
    </row>
    <row r="128" spans="1:7" ht="57" customHeight="1">
      <c r="A128" s="10" t="s">
        <v>170</v>
      </c>
      <c r="B128" s="9" t="s">
        <v>50</v>
      </c>
      <c r="C128" s="9" t="s">
        <v>153</v>
      </c>
      <c r="D128" s="9" t="s">
        <v>31</v>
      </c>
      <c r="E128" s="22">
        <f>1146000+4584000</f>
        <v>5730000</v>
      </c>
      <c r="F128" s="22">
        <f>4980000+19920000-19920000-4980000</f>
        <v>0</v>
      </c>
      <c r="G128" s="22">
        <f>4779525+19118100+20-19118120-4779525</f>
        <v>0</v>
      </c>
    </row>
    <row r="129" spans="1:7" ht="18">
      <c r="A129" s="10" t="s">
        <v>12</v>
      </c>
      <c r="B129" s="9" t="s">
        <v>50</v>
      </c>
      <c r="C129" s="9" t="s">
        <v>153</v>
      </c>
      <c r="D129" s="9" t="s">
        <v>13</v>
      </c>
      <c r="E129" s="22">
        <f>1000000+2700000+200000+180000</f>
        <v>4080000</v>
      </c>
      <c r="F129" s="22">
        <f>1000000</f>
        <v>1000000</v>
      </c>
      <c r="G129" s="22">
        <f>1000000</f>
        <v>1000000</v>
      </c>
    </row>
    <row r="130" spans="1:7" ht="75" customHeight="1">
      <c r="A130" s="11" t="s">
        <v>101</v>
      </c>
      <c r="B130" s="8" t="s">
        <v>50</v>
      </c>
      <c r="C130" s="8" t="s">
        <v>135</v>
      </c>
      <c r="D130" s="8" t="s">
        <v>0</v>
      </c>
      <c r="E130" s="21">
        <f>E131+E133+E132</f>
        <v>5687300</v>
      </c>
      <c r="F130" s="21">
        <f>F131+F133+F132</f>
        <v>3447100</v>
      </c>
      <c r="G130" s="21">
        <f>G131+G133+G132</f>
        <v>3427000</v>
      </c>
    </row>
    <row r="131" spans="1:7" ht="54" hidden="1">
      <c r="A131" s="10" t="s">
        <v>9</v>
      </c>
      <c r="B131" s="9" t="s">
        <v>50</v>
      </c>
      <c r="C131" s="9" t="s">
        <v>135</v>
      </c>
      <c r="D131" s="9" t="s">
        <v>10</v>
      </c>
      <c r="E131" s="22"/>
      <c r="F131" s="22"/>
      <c r="G131" s="22"/>
    </row>
    <row r="132" spans="1:7" ht="33" customHeight="1">
      <c r="A132" s="10" t="s">
        <v>24</v>
      </c>
      <c r="B132" s="9" t="s">
        <v>50</v>
      </c>
      <c r="C132" s="9" t="s">
        <v>135</v>
      </c>
      <c r="D132" s="9" t="s">
        <v>25</v>
      </c>
      <c r="E132" s="22">
        <f>2083200+950000+600000</f>
        <v>3633200</v>
      </c>
      <c r="F132" s="22">
        <f>2083200</f>
        <v>2083200</v>
      </c>
      <c r="G132" s="22">
        <f>2083200</f>
        <v>2083200</v>
      </c>
    </row>
    <row r="133" spans="1:7" ht="23.25" customHeight="1">
      <c r="A133" s="10" t="s">
        <v>12</v>
      </c>
      <c r="B133" s="9" t="s">
        <v>50</v>
      </c>
      <c r="C133" s="9" t="s">
        <v>135</v>
      </c>
      <c r="D133" s="9" t="s">
        <v>13</v>
      </c>
      <c r="E133" s="22">
        <f>1391200+762900-100000</f>
        <v>2054100</v>
      </c>
      <c r="F133" s="22">
        <f>1363900</f>
        <v>1363900</v>
      </c>
      <c r="G133" s="22">
        <v>1343800</v>
      </c>
    </row>
    <row r="134" spans="1:7" ht="18" hidden="1">
      <c r="A134" s="11" t="s">
        <v>125</v>
      </c>
      <c r="B134" s="8" t="s">
        <v>124</v>
      </c>
      <c r="C134" s="9"/>
      <c r="D134" s="9"/>
      <c r="E134" s="21">
        <f>E137+E135</f>
        <v>818234</v>
      </c>
      <c r="F134" s="21">
        <f>F137+F135</f>
        <v>701000</v>
      </c>
      <c r="G134" s="21">
        <f>G137+G135</f>
        <v>701000</v>
      </c>
    </row>
    <row r="135" spans="1:7" ht="18" hidden="1">
      <c r="A135" s="11"/>
      <c r="B135" s="8" t="s">
        <v>124</v>
      </c>
      <c r="C135" s="8" t="s">
        <v>154</v>
      </c>
      <c r="D135" s="9"/>
      <c r="E135" s="21">
        <f>E136</f>
        <v>0</v>
      </c>
      <c r="F135" s="21">
        <f>F136</f>
        <v>0</v>
      </c>
      <c r="G135" s="21">
        <f>G136</f>
        <v>0</v>
      </c>
    </row>
    <row r="136" spans="1:7" ht="54" hidden="1">
      <c r="A136" s="10" t="s">
        <v>9</v>
      </c>
      <c r="B136" s="9" t="s">
        <v>124</v>
      </c>
      <c r="C136" s="9" t="s">
        <v>154</v>
      </c>
      <c r="D136" s="9" t="s">
        <v>10</v>
      </c>
      <c r="E136" s="22"/>
      <c r="F136" s="22"/>
      <c r="G136" s="22"/>
    </row>
    <row r="137" spans="1:7" ht="69">
      <c r="A137" s="11" t="s">
        <v>101</v>
      </c>
      <c r="B137" s="8" t="s">
        <v>124</v>
      </c>
      <c r="C137" s="8" t="s">
        <v>135</v>
      </c>
      <c r="D137" s="9"/>
      <c r="E137" s="21">
        <f>E138+E139</f>
        <v>818234</v>
      </c>
      <c r="F137" s="21">
        <f>F138+F139</f>
        <v>701000</v>
      </c>
      <c r="G137" s="21">
        <f>G138+G139</f>
        <v>701000</v>
      </c>
    </row>
    <row r="138" spans="1:7" ht="54">
      <c r="A138" s="10" t="s">
        <v>9</v>
      </c>
      <c r="B138" s="9" t="s">
        <v>124</v>
      </c>
      <c r="C138" s="9" t="s">
        <v>135</v>
      </c>
      <c r="D138" s="9" t="s">
        <v>10</v>
      </c>
      <c r="E138" s="22">
        <f>50000</f>
        <v>50000</v>
      </c>
      <c r="F138" s="22"/>
      <c r="G138" s="22"/>
    </row>
    <row r="139" spans="1:7" ht="18">
      <c r="A139" s="10" t="s">
        <v>24</v>
      </c>
      <c r="B139" s="9" t="s">
        <v>124</v>
      </c>
      <c r="C139" s="9" t="s">
        <v>135</v>
      </c>
      <c r="D139" s="9" t="s">
        <v>25</v>
      </c>
      <c r="E139" s="22">
        <f>701000+67234</f>
        <v>768234</v>
      </c>
      <c r="F139" s="22">
        <f>701000</f>
        <v>701000</v>
      </c>
      <c r="G139" s="22">
        <f>701000</f>
        <v>701000</v>
      </c>
    </row>
    <row r="140" spans="1:7" ht="17.25">
      <c r="A140" s="11" t="s">
        <v>52</v>
      </c>
      <c r="B140" s="8" t="s">
        <v>53</v>
      </c>
      <c r="C140" s="8" t="s">
        <v>0</v>
      </c>
      <c r="D140" s="8" t="s">
        <v>0</v>
      </c>
      <c r="E140" s="21">
        <f>E141+E152+E211+E226+E208+E188</f>
        <v>241186906.31999996</v>
      </c>
      <c r="F140" s="21">
        <f>F141+F152+F211+F226+F208+F188</f>
        <v>204916513.96</v>
      </c>
      <c r="G140" s="21">
        <f>G141+G152+G211+G226+G208+G188</f>
        <v>198583717.07</v>
      </c>
    </row>
    <row r="141" spans="1:7" ht="17.25">
      <c r="A141" s="11" t="s">
        <v>54</v>
      </c>
      <c r="B141" s="8" t="s">
        <v>55</v>
      </c>
      <c r="C141" s="8" t="s">
        <v>0</v>
      </c>
      <c r="D141" s="8" t="s">
        <v>0</v>
      </c>
      <c r="E141" s="21">
        <f>E148+E142</f>
        <v>22518693.98</v>
      </c>
      <c r="F141" s="21">
        <f>F148+F142</f>
        <v>20012363</v>
      </c>
      <c r="G141" s="21">
        <f>G148+G142</f>
        <v>20012363</v>
      </c>
    </row>
    <row r="142" spans="1:7" ht="73.5" customHeight="1">
      <c r="A142" s="11" t="s">
        <v>184</v>
      </c>
      <c r="B142" s="8" t="s">
        <v>55</v>
      </c>
      <c r="C142" s="8" t="s">
        <v>155</v>
      </c>
      <c r="D142" s="8"/>
      <c r="E142" s="21">
        <f>E143+E146</f>
        <v>11211397.98</v>
      </c>
      <c r="F142" s="21">
        <f>F143+F146</f>
        <v>9697663</v>
      </c>
      <c r="G142" s="21">
        <f>G143+G146</f>
        <v>9697663</v>
      </c>
    </row>
    <row r="143" spans="1:7" ht="75" customHeight="1">
      <c r="A143" s="27" t="s">
        <v>192</v>
      </c>
      <c r="B143" s="8" t="s">
        <v>55</v>
      </c>
      <c r="C143" s="8" t="s">
        <v>191</v>
      </c>
      <c r="D143" s="8"/>
      <c r="E143" s="21">
        <f>E145+E144</f>
        <v>8335160.9799999995</v>
      </c>
      <c r="F143" s="21">
        <f>F145+F144</f>
        <v>7012526</v>
      </c>
      <c r="G143" s="21">
        <f>G145+G144</f>
        <v>7012526</v>
      </c>
    </row>
    <row r="144" spans="1:7" ht="144">
      <c r="A144" s="10" t="s">
        <v>5</v>
      </c>
      <c r="B144" s="9" t="s">
        <v>55</v>
      </c>
      <c r="C144" s="9" t="s">
        <v>191</v>
      </c>
      <c r="D144" s="9" t="s">
        <v>6</v>
      </c>
      <c r="E144" s="22">
        <f>4958091+63157.01-161215.92+49824.89</f>
        <v>4909856.9799999995</v>
      </c>
      <c r="F144" s="22">
        <f>4948091</f>
        <v>4948091</v>
      </c>
      <c r="G144" s="22">
        <f>4948091</f>
        <v>4948091</v>
      </c>
    </row>
    <row r="145" spans="1:7" ht="54">
      <c r="A145" s="10" t="s">
        <v>9</v>
      </c>
      <c r="B145" s="9" t="s">
        <v>55</v>
      </c>
      <c r="C145" s="9" t="s">
        <v>191</v>
      </c>
      <c r="D145" s="9" t="s">
        <v>10</v>
      </c>
      <c r="E145" s="22">
        <f>4859022-2400137+582550-285000+652869+96000-80000</f>
        <v>3425304</v>
      </c>
      <c r="F145" s="22">
        <f>4749572-2685137</f>
        <v>2064435</v>
      </c>
      <c r="G145" s="22">
        <f>4749572-2685137</f>
        <v>2064435</v>
      </c>
    </row>
    <row r="146" spans="1:7" ht="51.75">
      <c r="A146" s="28" t="s">
        <v>193</v>
      </c>
      <c r="B146" s="8" t="s">
        <v>55</v>
      </c>
      <c r="C146" s="8" t="s">
        <v>157</v>
      </c>
      <c r="D146" s="8"/>
      <c r="E146" s="21">
        <f>E147</f>
        <v>2876237</v>
      </c>
      <c r="F146" s="21">
        <f>F147</f>
        <v>2685137</v>
      </c>
      <c r="G146" s="21">
        <f>G147</f>
        <v>2685137</v>
      </c>
    </row>
    <row r="147" spans="1:7" ht="54">
      <c r="A147" s="10" t="s">
        <v>9</v>
      </c>
      <c r="B147" s="9" t="s">
        <v>55</v>
      </c>
      <c r="C147" s="9" t="s">
        <v>157</v>
      </c>
      <c r="D147" s="9" t="s">
        <v>10</v>
      </c>
      <c r="E147" s="22">
        <f>3100+2400137+285000+151900+11772-11772+14700+21400</f>
        <v>2876237</v>
      </c>
      <c r="F147" s="22">
        <f>2685137</f>
        <v>2685137</v>
      </c>
      <c r="G147" s="22">
        <f>2685137</f>
        <v>2685137</v>
      </c>
    </row>
    <row r="148" spans="1:7" ht="69">
      <c r="A148" s="11" t="s">
        <v>101</v>
      </c>
      <c r="B148" s="8" t="s">
        <v>55</v>
      </c>
      <c r="C148" s="8" t="s">
        <v>135</v>
      </c>
      <c r="D148" s="8" t="s">
        <v>0</v>
      </c>
      <c r="E148" s="21">
        <f>E149+E151+E150</f>
        <v>11307296</v>
      </c>
      <c r="F148" s="21">
        <f>F149+F151+F150</f>
        <v>10314700</v>
      </c>
      <c r="G148" s="21">
        <f>G149+G151+G150</f>
        <v>10314700</v>
      </c>
    </row>
    <row r="149" spans="1:7" ht="144">
      <c r="A149" s="10" t="s">
        <v>5</v>
      </c>
      <c r="B149" s="9" t="s">
        <v>55</v>
      </c>
      <c r="C149" s="9" t="s">
        <v>135</v>
      </c>
      <c r="D149" s="9" t="s">
        <v>6</v>
      </c>
      <c r="E149" s="22">
        <f>3929092+1186585+1309697+395528+1879061+567477+626353+189159+6448+248300+432500+140100+278800</f>
        <v>11189100</v>
      </c>
      <c r="F149" s="22">
        <f>3979161+1201707+1326387+400569+1903070+574727+634356+191576</f>
        <v>10211553</v>
      </c>
      <c r="G149" s="22">
        <f>3979161+1201707+1326387+400569+1903070+574727+634356+191576</f>
        <v>10211553</v>
      </c>
    </row>
    <row r="150" spans="1:7" ht="54">
      <c r="A150" s="10" t="s">
        <v>9</v>
      </c>
      <c r="B150" s="9" t="s">
        <v>55</v>
      </c>
      <c r="C150" s="9" t="s">
        <v>135</v>
      </c>
      <c r="D150" s="9" t="s">
        <v>10</v>
      </c>
      <c r="E150" s="22">
        <f>20161+48737+32950+12400+7000-6448</f>
        <v>114800</v>
      </c>
      <c r="F150" s="22">
        <f>20161+49615+33371</f>
        <v>103147</v>
      </c>
      <c r="G150" s="22">
        <f>20161+49615+33371</f>
        <v>103147</v>
      </c>
    </row>
    <row r="151" spans="1:7" ht="18">
      <c r="A151" s="10" t="s">
        <v>12</v>
      </c>
      <c r="B151" s="9" t="s">
        <v>55</v>
      </c>
      <c r="C151" s="9" t="s">
        <v>135</v>
      </c>
      <c r="D151" s="9" t="s">
        <v>13</v>
      </c>
      <c r="E151" s="22">
        <f>3396</f>
        <v>3396</v>
      </c>
      <c r="F151" s="22"/>
      <c r="G151" s="22"/>
    </row>
    <row r="152" spans="1:7" ht="17.25">
      <c r="A152" s="11" t="s">
        <v>56</v>
      </c>
      <c r="B152" s="8" t="s">
        <v>57</v>
      </c>
      <c r="C152" s="8" t="s">
        <v>0</v>
      </c>
      <c r="D152" s="8" t="s">
        <v>0</v>
      </c>
      <c r="E152" s="21">
        <f>E153+E180+E182+E177</f>
        <v>182457473.14999998</v>
      </c>
      <c r="F152" s="21">
        <f>F153+F180+F182+F177</f>
        <v>152250462.96</v>
      </c>
      <c r="G152" s="21">
        <f>G153+G180+G182+G177</f>
        <v>145917666.07</v>
      </c>
    </row>
    <row r="153" spans="1:7" ht="95.25" customHeight="1">
      <c r="A153" s="11" t="s">
        <v>184</v>
      </c>
      <c r="B153" s="8" t="s">
        <v>57</v>
      </c>
      <c r="C153" s="8" t="s">
        <v>139</v>
      </c>
      <c r="D153" s="8" t="s">
        <v>0</v>
      </c>
      <c r="E153" s="21">
        <f>E154+E157+E161+E165+E168+E171+E174</f>
        <v>67870254.14999999</v>
      </c>
      <c r="F153" s="21">
        <f>F154+F157+F161+F165+F168+F171+F174</f>
        <v>43320743.96</v>
      </c>
      <c r="G153" s="21">
        <f>G154+G157+G161+G165+G168+G171+G174</f>
        <v>43462047.07</v>
      </c>
    </row>
    <row r="154" spans="1:7" ht="34.5" hidden="1">
      <c r="A154" s="17" t="s">
        <v>103</v>
      </c>
      <c r="B154" s="8" t="s">
        <v>57</v>
      </c>
      <c r="C154" s="8" t="s">
        <v>109</v>
      </c>
      <c r="D154" s="8"/>
      <c r="E154" s="21">
        <f>SUM(E155:E156)</f>
        <v>0</v>
      </c>
      <c r="F154" s="21">
        <f>SUM(F155:F156)</f>
        <v>0</v>
      </c>
      <c r="G154" s="21">
        <f>SUM(G155:G156)</f>
        <v>0</v>
      </c>
    </row>
    <row r="155" spans="1:7" ht="54" hidden="1">
      <c r="A155" s="10" t="s">
        <v>9</v>
      </c>
      <c r="B155" s="9" t="s">
        <v>57</v>
      </c>
      <c r="C155" s="9" t="s">
        <v>109</v>
      </c>
      <c r="D155" s="9" t="s">
        <v>10</v>
      </c>
      <c r="E155" s="21"/>
      <c r="F155" s="21"/>
      <c r="G155" s="21"/>
    </row>
    <row r="156" spans="1:7" ht="72" hidden="1">
      <c r="A156" s="10" t="s">
        <v>26</v>
      </c>
      <c r="B156" s="9" t="s">
        <v>57</v>
      </c>
      <c r="C156" s="9" t="s">
        <v>109</v>
      </c>
      <c r="D156" s="9" t="s">
        <v>27</v>
      </c>
      <c r="E156" s="21"/>
      <c r="F156" s="21"/>
      <c r="G156" s="21"/>
    </row>
    <row r="157" spans="1:7" ht="81" customHeight="1">
      <c r="A157" s="28" t="s">
        <v>192</v>
      </c>
      <c r="B157" s="8" t="s">
        <v>57</v>
      </c>
      <c r="C157" s="8" t="s">
        <v>190</v>
      </c>
      <c r="D157" s="8"/>
      <c r="E157" s="21">
        <f>SUM(E158:E159)+E160</f>
        <v>43906107.129999995</v>
      </c>
      <c r="F157" s="21">
        <f>SUM(F158:F159)+F160</f>
        <v>27808206</v>
      </c>
      <c r="G157" s="21">
        <f>SUM(G158:G159)+G160</f>
        <v>27801906</v>
      </c>
    </row>
    <row r="158" spans="1:7" ht="133.5" customHeight="1">
      <c r="A158" s="10" t="s">
        <v>5</v>
      </c>
      <c r="B158" s="9" t="s">
        <v>57</v>
      </c>
      <c r="C158" s="9" t="s">
        <v>191</v>
      </c>
      <c r="D158" s="9" t="s">
        <v>6</v>
      </c>
      <c r="E158" s="22">
        <f>1080643+11405500+20+193700+261891+122085.09-703080-452020+160559-68877.08+319404+49824.89-49824.89-146031.88</f>
        <v>12173793.129999999</v>
      </c>
      <c r="F158" s="22">
        <f>1249878+11405500+20+176800</f>
        <v>12832198</v>
      </c>
      <c r="G158" s="22">
        <f>1249878+11405500+20+170500</f>
        <v>12825898</v>
      </c>
    </row>
    <row r="159" spans="1:7" ht="57.75" customHeight="1">
      <c r="A159" s="10" t="s">
        <v>9</v>
      </c>
      <c r="B159" s="9" t="s">
        <v>57</v>
      </c>
      <c r="C159" s="9" t="s">
        <v>190</v>
      </c>
      <c r="D159" s="9" t="s">
        <v>10</v>
      </c>
      <c r="E159" s="22">
        <f>18010769+8881573+120000+14000+1048660+1235948+30000+1307683+398000+368681+369000-132000+80000</f>
        <v>31732314</v>
      </c>
      <c r="F159" s="22">
        <f>14976008</f>
        <v>14976008</v>
      </c>
      <c r="G159" s="22">
        <f>14976008</f>
        <v>14976008</v>
      </c>
    </row>
    <row r="160" spans="1:7" ht="36" hidden="1">
      <c r="A160" s="10" t="s">
        <v>32</v>
      </c>
      <c r="B160" s="9" t="s">
        <v>57</v>
      </c>
      <c r="C160" s="9" t="s">
        <v>190</v>
      </c>
      <c r="D160" s="9" t="s">
        <v>33</v>
      </c>
      <c r="E160" s="22"/>
      <c r="F160" s="22"/>
      <c r="G160" s="22"/>
    </row>
    <row r="161" spans="1:7" ht="66.75" customHeight="1">
      <c r="A161" s="28" t="s">
        <v>193</v>
      </c>
      <c r="B161" s="8" t="s">
        <v>57</v>
      </c>
      <c r="C161" s="8" t="s">
        <v>157</v>
      </c>
      <c r="D161" s="8"/>
      <c r="E161" s="21">
        <f>E163+E164</f>
        <v>23964147.02</v>
      </c>
      <c r="F161" s="21">
        <f>F163+F164</f>
        <v>15512537.96</v>
      </c>
      <c r="G161" s="21">
        <f>G163+G164</f>
        <v>15660141.07</v>
      </c>
    </row>
    <row r="162" spans="1:7" ht="144" hidden="1">
      <c r="A162" s="10" t="s">
        <v>5</v>
      </c>
      <c r="B162" s="9" t="s">
        <v>57</v>
      </c>
      <c r="C162" s="9" t="s">
        <v>157</v>
      </c>
      <c r="D162" s="9" t="s">
        <v>6</v>
      </c>
      <c r="E162" s="22"/>
      <c r="F162" s="22"/>
      <c r="G162" s="22"/>
    </row>
    <row r="163" spans="1:7" ht="54">
      <c r="A163" s="10" t="s">
        <v>9</v>
      </c>
      <c r="B163" s="9" t="s">
        <v>57</v>
      </c>
      <c r="C163" s="9" t="s">
        <v>157</v>
      </c>
      <c r="D163" s="9" t="s">
        <v>10</v>
      </c>
      <c r="E163" s="22">
        <f>4954607+5184000+5400000+1000000+1000000+5000000+107172.02+298489+815100+3007-142800+11772+190000</f>
        <v>23821347.02</v>
      </c>
      <c r="F163" s="22">
        <f>3256772+5259300+1000000+1000000+5000000-3534.04</f>
        <v>15512537.96</v>
      </c>
      <c r="G163" s="22">
        <f>3256772+5418200+1000000+1000000+5000000-14830.93</f>
        <v>15660141.07</v>
      </c>
    </row>
    <row r="164" spans="1:7" ht="36" customHeight="1">
      <c r="A164" s="10" t="s">
        <v>32</v>
      </c>
      <c r="B164" s="9" t="s">
        <v>57</v>
      </c>
      <c r="C164" s="9" t="s">
        <v>157</v>
      </c>
      <c r="D164" s="9" t="s">
        <v>33</v>
      </c>
      <c r="E164" s="22">
        <f>142800</f>
        <v>142800</v>
      </c>
      <c r="F164" s="21"/>
      <c r="G164" s="21"/>
    </row>
    <row r="165" spans="1:7" ht="17.25" hidden="1">
      <c r="A165" s="26"/>
      <c r="B165" s="8" t="s">
        <v>57</v>
      </c>
      <c r="C165" s="8" t="s">
        <v>198</v>
      </c>
      <c r="D165" s="8"/>
      <c r="E165" s="21">
        <f>SUM(E166:E167)</f>
        <v>0</v>
      </c>
      <c r="F165" s="21">
        <f>SUM(F166:F167)</f>
        <v>0</v>
      </c>
      <c r="G165" s="21">
        <f>SUM(G166:G167)</f>
        <v>0</v>
      </c>
    </row>
    <row r="166" spans="1:7" ht="54" hidden="1">
      <c r="A166" s="10" t="s">
        <v>9</v>
      </c>
      <c r="B166" s="9" t="s">
        <v>57</v>
      </c>
      <c r="C166" s="9" t="s">
        <v>198</v>
      </c>
      <c r="D166" s="9" t="s">
        <v>10</v>
      </c>
      <c r="E166" s="22"/>
      <c r="F166" s="22"/>
      <c r="G166" s="22"/>
    </row>
    <row r="167" spans="1:7" ht="72" hidden="1">
      <c r="A167" s="10" t="s">
        <v>26</v>
      </c>
      <c r="B167" s="9" t="s">
        <v>57</v>
      </c>
      <c r="C167" s="9" t="s">
        <v>111</v>
      </c>
      <c r="D167" s="9" t="s">
        <v>27</v>
      </c>
      <c r="E167" s="22"/>
      <c r="F167" s="22"/>
      <c r="G167" s="22"/>
    </row>
    <row r="168" spans="1:7" ht="69" hidden="1">
      <c r="A168" s="17" t="s">
        <v>106</v>
      </c>
      <c r="B168" s="8" t="s">
        <v>57</v>
      </c>
      <c r="C168" s="8" t="s">
        <v>112</v>
      </c>
      <c r="D168" s="8"/>
      <c r="E168" s="21">
        <f>SUM(E169:E170)</f>
        <v>0</v>
      </c>
      <c r="F168" s="21">
        <f>SUM(F169:F170)</f>
        <v>0</v>
      </c>
      <c r="G168" s="21">
        <f>SUM(G169:G170)</f>
        <v>0</v>
      </c>
    </row>
    <row r="169" spans="1:7" ht="54" hidden="1">
      <c r="A169" s="10" t="s">
        <v>9</v>
      </c>
      <c r="B169" s="9" t="s">
        <v>57</v>
      </c>
      <c r="C169" s="9" t="s">
        <v>112</v>
      </c>
      <c r="D169" s="9" t="s">
        <v>10</v>
      </c>
      <c r="E169" s="21"/>
      <c r="F169" s="21"/>
      <c r="G169" s="21"/>
    </row>
    <row r="170" spans="1:7" ht="72" hidden="1">
      <c r="A170" s="10" t="s">
        <v>26</v>
      </c>
      <c r="B170" s="9" t="s">
        <v>57</v>
      </c>
      <c r="C170" s="9" t="s">
        <v>112</v>
      </c>
      <c r="D170" s="9" t="s">
        <v>27</v>
      </c>
      <c r="E170" s="21"/>
      <c r="F170" s="21"/>
      <c r="G170" s="21"/>
    </row>
    <row r="171" spans="1:7" ht="51.75" hidden="1">
      <c r="A171" s="17" t="s">
        <v>107</v>
      </c>
      <c r="B171" s="8" t="s">
        <v>57</v>
      </c>
      <c r="C171" s="8" t="s">
        <v>113</v>
      </c>
      <c r="D171" s="8"/>
      <c r="E171" s="21">
        <f>SUM(E172:E173)</f>
        <v>0</v>
      </c>
      <c r="F171" s="21">
        <f>SUM(F172:F173)</f>
        <v>0</v>
      </c>
      <c r="G171" s="21">
        <f>SUM(G172:G173)</f>
        <v>0</v>
      </c>
    </row>
    <row r="172" spans="1:7" ht="54" hidden="1">
      <c r="A172" s="10" t="s">
        <v>9</v>
      </c>
      <c r="B172" s="9" t="s">
        <v>57</v>
      </c>
      <c r="C172" s="9" t="s">
        <v>113</v>
      </c>
      <c r="D172" s="9" t="s">
        <v>10</v>
      </c>
      <c r="E172" s="21"/>
      <c r="F172" s="21"/>
      <c r="G172" s="21"/>
    </row>
    <row r="173" spans="1:7" ht="72" hidden="1">
      <c r="A173" s="10" t="s">
        <v>26</v>
      </c>
      <c r="B173" s="9" t="s">
        <v>57</v>
      </c>
      <c r="C173" s="9" t="s">
        <v>113</v>
      </c>
      <c r="D173" s="9" t="s">
        <v>27</v>
      </c>
      <c r="E173" s="21"/>
      <c r="F173" s="21"/>
      <c r="G173" s="21"/>
    </row>
    <row r="174" spans="1:7" ht="87" hidden="1">
      <c r="A174" s="17" t="s">
        <v>108</v>
      </c>
      <c r="B174" s="8" t="s">
        <v>57</v>
      </c>
      <c r="C174" s="8" t="s">
        <v>114</v>
      </c>
      <c r="D174" s="8"/>
      <c r="E174" s="21">
        <f>SUM(E175:E176)</f>
        <v>0</v>
      </c>
      <c r="F174" s="21">
        <f>SUM(F175:F176)</f>
        <v>0</v>
      </c>
      <c r="G174" s="21">
        <f>SUM(G175:G176)</f>
        <v>0</v>
      </c>
    </row>
    <row r="175" spans="1:7" ht="54" hidden="1">
      <c r="A175" s="10" t="s">
        <v>9</v>
      </c>
      <c r="B175" s="9" t="s">
        <v>57</v>
      </c>
      <c r="C175" s="9" t="s">
        <v>114</v>
      </c>
      <c r="D175" s="9" t="s">
        <v>10</v>
      </c>
      <c r="E175" s="21"/>
      <c r="F175" s="21"/>
      <c r="G175" s="21"/>
    </row>
    <row r="176" spans="1:7" ht="72" hidden="1">
      <c r="A176" s="10" t="s">
        <v>26</v>
      </c>
      <c r="B176" s="9" t="s">
        <v>57</v>
      </c>
      <c r="C176" s="9" t="s">
        <v>114</v>
      </c>
      <c r="D176" s="9" t="s">
        <v>27</v>
      </c>
      <c r="E176" s="21"/>
      <c r="F176" s="21"/>
      <c r="G176" s="21"/>
    </row>
    <row r="177" spans="1:7" ht="87" hidden="1">
      <c r="A177" s="11" t="s">
        <v>158</v>
      </c>
      <c r="B177" s="8" t="s">
        <v>57</v>
      </c>
      <c r="C177" s="8" t="s">
        <v>164</v>
      </c>
      <c r="D177" s="8"/>
      <c r="E177" s="21">
        <f>E178</f>
        <v>0</v>
      </c>
      <c r="F177" s="21">
        <f>F178</f>
        <v>0</v>
      </c>
      <c r="G177" s="21">
        <f>G178</f>
        <v>0</v>
      </c>
    </row>
    <row r="178" spans="1:7" ht="72" hidden="1">
      <c r="A178" s="10" t="s">
        <v>26</v>
      </c>
      <c r="B178" s="9" t="s">
        <v>57</v>
      </c>
      <c r="C178" s="9" t="s">
        <v>164</v>
      </c>
      <c r="D178" s="9" t="s">
        <v>27</v>
      </c>
      <c r="E178" s="22"/>
      <c r="F178" s="22"/>
      <c r="G178" s="22"/>
    </row>
    <row r="179" spans="1:7" ht="18" hidden="1">
      <c r="A179" s="10"/>
      <c r="B179" s="9"/>
      <c r="C179" s="9"/>
      <c r="D179" s="9"/>
      <c r="E179" s="21"/>
      <c r="F179" s="21"/>
      <c r="G179" s="21"/>
    </row>
    <row r="180" spans="1:7" ht="121.5" hidden="1">
      <c r="A180" s="17" t="s">
        <v>115</v>
      </c>
      <c r="B180" s="8" t="s">
        <v>57</v>
      </c>
      <c r="C180" s="8" t="s">
        <v>60</v>
      </c>
      <c r="D180" s="9"/>
      <c r="E180" s="21">
        <f>E181</f>
        <v>0</v>
      </c>
      <c r="F180" s="21">
        <f>F181</f>
        <v>0</v>
      </c>
      <c r="G180" s="21">
        <f>G181</f>
        <v>0</v>
      </c>
    </row>
    <row r="181" spans="1:7" ht="72" hidden="1">
      <c r="A181" s="10" t="s">
        <v>30</v>
      </c>
      <c r="B181" s="9" t="s">
        <v>57</v>
      </c>
      <c r="C181" s="9" t="s">
        <v>60</v>
      </c>
      <c r="D181" s="9" t="s">
        <v>31</v>
      </c>
      <c r="E181" s="22"/>
      <c r="F181" s="22"/>
      <c r="G181" s="22"/>
    </row>
    <row r="182" spans="1:7" ht="76.5" customHeight="1">
      <c r="A182" s="11" t="s">
        <v>101</v>
      </c>
      <c r="B182" s="8" t="s">
        <v>57</v>
      </c>
      <c r="C182" s="8" t="s">
        <v>135</v>
      </c>
      <c r="D182" s="8" t="s">
        <v>0</v>
      </c>
      <c r="E182" s="21">
        <f>SUM(E183:E187)</f>
        <v>114587219</v>
      </c>
      <c r="F182" s="21">
        <f>SUM(F183:F187)</f>
        <v>108929719</v>
      </c>
      <c r="G182" s="21">
        <f>SUM(G183:G187)</f>
        <v>102455619</v>
      </c>
    </row>
    <row r="183" spans="1:7" ht="144">
      <c r="A183" s="10" t="s">
        <v>5</v>
      </c>
      <c r="B183" s="9" t="s">
        <v>57</v>
      </c>
      <c r="C183" s="9" t="s">
        <v>135</v>
      </c>
      <c r="D183" s="9" t="s">
        <v>6</v>
      </c>
      <c r="E183" s="22">
        <f>47460005+14332921+13386155+4042619+113057+34143-147200+19619800-127700+1749400+6341800</f>
        <v>106805000</v>
      </c>
      <c r="F183" s="22">
        <f>60414834+18245280+17040081+5146105+135792+41008-176800</f>
        <v>100846300</v>
      </c>
      <c r="G183" s="22">
        <f>56351825+17018251+15894104+4800020+130953+39547-170500</f>
        <v>94064200</v>
      </c>
    </row>
    <row r="184" spans="1:7" ht="51" customHeight="1">
      <c r="A184" s="10" t="s">
        <v>9</v>
      </c>
      <c r="B184" s="9" t="s">
        <v>57</v>
      </c>
      <c r="C184" s="9" t="s">
        <v>135</v>
      </c>
      <c r="D184" s="9" t="s">
        <v>10</v>
      </c>
      <c r="E184" s="22">
        <f>239500+2100000+110500+4560000+127700+120700</f>
        <v>7258400</v>
      </c>
      <c r="F184" s="22">
        <f>239500+2860500+4459500</f>
        <v>7559500</v>
      </c>
      <c r="G184" s="22">
        <f>239500+3060500+4567500</f>
        <v>7867500</v>
      </c>
    </row>
    <row r="185" spans="1:7" ht="36" hidden="1">
      <c r="A185" s="10" t="s">
        <v>32</v>
      </c>
      <c r="B185" s="9" t="s">
        <v>57</v>
      </c>
      <c r="C185" s="9" t="s">
        <v>135</v>
      </c>
      <c r="D185" s="9" t="s">
        <v>33</v>
      </c>
      <c r="E185" s="22">
        <f>46500-46500</f>
        <v>0</v>
      </c>
      <c r="F185" s="22"/>
      <c r="G185" s="22"/>
    </row>
    <row r="186" spans="1:7" ht="72" hidden="1">
      <c r="A186" s="10" t="s">
        <v>26</v>
      </c>
      <c r="B186" s="9" t="s">
        <v>57</v>
      </c>
      <c r="C186" s="9" t="s">
        <v>135</v>
      </c>
      <c r="D186" s="9" t="s">
        <v>27</v>
      </c>
      <c r="E186" s="22"/>
      <c r="F186" s="22"/>
      <c r="G186" s="22"/>
    </row>
    <row r="187" spans="1:7" ht="24" customHeight="1">
      <c r="A187" s="10" t="s">
        <v>12</v>
      </c>
      <c r="B187" s="9" t="s">
        <v>57</v>
      </c>
      <c r="C187" s="9" t="s">
        <v>135</v>
      </c>
      <c r="D187" s="9" t="s">
        <v>13</v>
      </c>
      <c r="E187" s="22">
        <f>523919-100</f>
        <v>523819</v>
      </c>
      <c r="F187" s="22">
        <f>523919</f>
        <v>523919</v>
      </c>
      <c r="G187" s="22">
        <f>523919</f>
        <v>523919</v>
      </c>
    </row>
    <row r="188" spans="1:7" ht="40.5" customHeight="1">
      <c r="A188" s="11" t="s">
        <v>168</v>
      </c>
      <c r="B188" s="8" t="s">
        <v>167</v>
      </c>
      <c r="C188" s="9"/>
      <c r="D188" s="9"/>
      <c r="E188" s="21">
        <f>E189+E200+E203</f>
        <v>16274890.66</v>
      </c>
      <c r="F188" s="21">
        <f>F189+F200+F203</f>
        <v>16870933</v>
      </c>
      <c r="G188" s="21">
        <f>G189+G200+G203</f>
        <v>16870933</v>
      </c>
    </row>
    <row r="189" spans="1:7" ht="99" customHeight="1">
      <c r="A189" s="11" t="s">
        <v>184</v>
      </c>
      <c r="B189" s="8" t="s">
        <v>167</v>
      </c>
      <c r="C189" s="8" t="s">
        <v>155</v>
      </c>
      <c r="D189" s="9"/>
      <c r="E189" s="21">
        <f>E193+E190+E197</f>
        <v>4737792.16</v>
      </c>
      <c r="F189" s="21">
        <f>F193+F190+F197</f>
        <v>4396338</v>
      </c>
      <c r="G189" s="21">
        <f>G193+G190+G197</f>
        <v>4396338</v>
      </c>
    </row>
    <row r="190" spans="1:7" ht="99" customHeight="1">
      <c r="A190" s="28" t="s">
        <v>192</v>
      </c>
      <c r="B190" s="8" t="s">
        <v>167</v>
      </c>
      <c r="C190" s="8" t="s">
        <v>190</v>
      </c>
      <c r="D190" s="8"/>
      <c r="E190" s="21">
        <f>SUM(E191:E192)</f>
        <v>3232015.79</v>
      </c>
      <c r="F190" s="21">
        <f>SUM(F191:F192)</f>
        <v>2852966</v>
      </c>
      <c r="G190" s="21">
        <f>SUM(G191:G192)</f>
        <v>2852966</v>
      </c>
    </row>
    <row r="191" spans="1:7" ht="129" customHeight="1">
      <c r="A191" s="10" t="s">
        <v>5</v>
      </c>
      <c r="B191" s="9" t="s">
        <v>167</v>
      </c>
      <c r="C191" s="9" t="s">
        <v>191</v>
      </c>
      <c r="D191" s="9" t="s">
        <v>6</v>
      </c>
      <c r="E191" s="22">
        <f>2794676-3455.21+210105+85000</f>
        <v>3086325.79</v>
      </c>
      <c r="F191" s="22">
        <f>2794676</f>
        <v>2794676</v>
      </c>
      <c r="G191" s="22">
        <f>2794676</f>
        <v>2794676</v>
      </c>
    </row>
    <row r="192" spans="1:7" ht="99" customHeight="1">
      <c r="A192" s="10" t="s">
        <v>9</v>
      </c>
      <c r="B192" s="9" t="s">
        <v>167</v>
      </c>
      <c r="C192" s="9" t="s">
        <v>190</v>
      </c>
      <c r="D192" s="9" t="s">
        <v>10</v>
      </c>
      <c r="E192" s="22">
        <f>95690+60000-60000+36000+14000</f>
        <v>145690</v>
      </c>
      <c r="F192" s="22">
        <f>58290</f>
        <v>58290</v>
      </c>
      <c r="G192" s="22">
        <f>58290</f>
        <v>58290</v>
      </c>
    </row>
    <row r="193" spans="1:7" ht="61.5" customHeight="1">
      <c r="A193" s="11" t="s">
        <v>193</v>
      </c>
      <c r="B193" s="8" t="s">
        <v>167</v>
      </c>
      <c r="C193" s="8" t="s">
        <v>156</v>
      </c>
      <c r="D193" s="9"/>
      <c r="E193" s="21">
        <f>E194+E195+E196</f>
        <v>706112</v>
      </c>
      <c r="F193" s="21">
        <f>F194+F195+F196</f>
        <v>706112</v>
      </c>
      <c r="G193" s="21">
        <f>G194+G195+G196</f>
        <v>706112</v>
      </c>
    </row>
    <row r="194" spans="1:7" ht="144">
      <c r="A194" s="10" t="s">
        <v>5</v>
      </c>
      <c r="B194" s="9" t="s">
        <v>167</v>
      </c>
      <c r="C194" s="9" t="s">
        <v>156</v>
      </c>
      <c r="D194" s="9" t="s">
        <v>6</v>
      </c>
      <c r="E194" s="22">
        <f>403132+121745</f>
        <v>524877</v>
      </c>
      <c r="F194" s="22">
        <f>403132+121745</f>
        <v>524877</v>
      </c>
      <c r="G194" s="22">
        <f>403132+121745</f>
        <v>524877</v>
      </c>
    </row>
    <row r="195" spans="1:7" ht="57.75" customHeight="1">
      <c r="A195" s="10" t="s">
        <v>9</v>
      </c>
      <c r="B195" s="9" t="s">
        <v>167</v>
      </c>
      <c r="C195" s="9" t="s">
        <v>156</v>
      </c>
      <c r="D195" s="9" t="s">
        <v>10</v>
      </c>
      <c r="E195" s="22">
        <f>70612+110623</f>
        <v>181235</v>
      </c>
      <c r="F195" s="22">
        <f>70612+110623</f>
        <v>181235</v>
      </c>
      <c r="G195" s="22">
        <f>70612+110623</f>
        <v>181235</v>
      </c>
    </row>
    <row r="196" spans="1:7" ht="72" hidden="1">
      <c r="A196" s="10" t="s">
        <v>26</v>
      </c>
      <c r="B196" s="9" t="s">
        <v>167</v>
      </c>
      <c r="C196" s="9" t="s">
        <v>156</v>
      </c>
      <c r="D196" s="9" t="s">
        <v>27</v>
      </c>
      <c r="E196" s="22"/>
      <c r="F196" s="22"/>
      <c r="G196" s="22"/>
    </row>
    <row r="197" spans="1:7" ht="87">
      <c r="A197" s="27" t="s">
        <v>199</v>
      </c>
      <c r="B197" s="8" t="s">
        <v>167</v>
      </c>
      <c r="C197" s="8" t="s">
        <v>200</v>
      </c>
      <c r="D197" s="9"/>
      <c r="E197" s="21">
        <f>SUM(E198:E199)</f>
        <v>799664.37</v>
      </c>
      <c r="F197" s="21">
        <f>SUM(F198:F199)</f>
        <v>837260</v>
      </c>
      <c r="G197" s="21">
        <f>SUM(G198:G199)</f>
        <v>837260</v>
      </c>
    </row>
    <row r="198" spans="1:7" ht="144">
      <c r="A198" s="10" t="s">
        <v>5</v>
      </c>
      <c r="B198" s="9" t="s">
        <v>167</v>
      </c>
      <c r="C198" s="9" t="s">
        <v>200</v>
      </c>
      <c r="D198" s="9" t="s">
        <v>6</v>
      </c>
      <c r="E198" s="22">
        <f>820260+98500-207000+14418-4118</f>
        <v>722060</v>
      </c>
      <c r="F198" s="22">
        <f>820260</f>
        <v>820260</v>
      </c>
      <c r="G198" s="22">
        <f>820260</f>
        <v>820260</v>
      </c>
    </row>
    <row r="199" spans="1:7" ht="54">
      <c r="A199" s="10" t="s">
        <v>9</v>
      </c>
      <c r="B199" s="9" t="s">
        <v>167</v>
      </c>
      <c r="C199" s="9" t="s">
        <v>200</v>
      </c>
      <c r="D199" s="9" t="s">
        <v>10</v>
      </c>
      <c r="E199" s="22">
        <f>17000+70904.37-14418+4118</f>
        <v>77604.37</v>
      </c>
      <c r="F199" s="22">
        <f>17000</f>
        <v>17000</v>
      </c>
      <c r="G199" s="22">
        <f>17000</f>
        <v>17000</v>
      </c>
    </row>
    <row r="200" spans="1:7" ht="111" customHeight="1">
      <c r="A200" s="27" t="s">
        <v>185</v>
      </c>
      <c r="B200" s="8" t="s">
        <v>167</v>
      </c>
      <c r="C200" s="8" t="s">
        <v>164</v>
      </c>
      <c r="D200" s="8"/>
      <c r="E200" s="21">
        <f>E202+E201</f>
        <v>10774792.5</v>
      </c>
      <c r="F200" s="21">
        <f>F202+F201</f>
        <v>11624776</v>
      </c>
      <c r="G200" s="21">
        <f>G202+G201</f>
        <v>11624776</v>
      </c>
    </row>
    <row r="201" spans="1:7" ht="111" customHeight="1">
      <c r="A201" s="10" t="s">
        <v>5</v>
      </c>
      <c r="B201" s="9" t="s">
        <v>167</v>
      </c>
      <c r="C201" s="9" t="s">
        <v>164</v>
      </c>
      <c r="D201" s="9" t="s">
        <v>6</v>
      </c>
      <c r="E201" s="22">
        <f>11156095+50000+5100-1439188.68+85000</f>
        <v>9857006.32</v>
      </c>
      <c r="F201" s="22">
        <f>11156095</f>
        <v>11156095</v>
      </c>
      <c r="G201" s="22">
        <f>11156095</f>
        <v>11156095</v>
      </c>
    </row>
    <row r="202" spans="1:7" ht="54">
      <c r="A202" s="10" t="s">
        <v>9</v>
      </c>
      <c r="B202" s="9" t="s">
        <v>167</v>
      </c>
      <c r="C202" s="9" t="s">
        <v>164</v>
      </c>
      <c r="D202" s="9" t="s">
        <v>10</v>
      </c>
      <c r="E202" s="22">
        <f>533681+65000+213585.18+110620-5100</f>
        <v>917786.1799999999</v>
      </c>
      <c r="F202" s="22">
        <f>468681</f>
        <v>468681</v>
      </c>
      <c r="G202" s="22">
        <f>468681</f>
        <v>468681</v>
      </c>
    </row>
    <row r="203" spans="1:7" ht="75" customHeight="1">
      <c r="A203" s="11" t="s">
        <v>101</v>
      </c>
      <c r="B203" s="8" t="s">
        <v>167</v>
      </c>
      <c r="C203" s="8" t="s">
        <v>149</v>
      </c>
      <c r="D203" s="9"/>
      <c r="E203" s="21">
        <f>E204+E205+E206+E207</f>
        <v>762306</v>
      </c>
      <c r="F203" s="21">
        <f>F204+F205+F206+F207</f>
        <v>849819</v>
      </c>
      <c r="G203" s="21">
        <f>G204+G205+G206+G207</f>
        <v>849819</v>
      </c>
    </row>
    <row r="204" spans="1:7" ht="58.5" customHeight="1" hidden="1">
      <c r="A204" s="10" t="s">
        <v>5</v>
      </c>
      <c r="B204" s="9" t="s">
        <v>167</v>
      </c>
      <c r="C204" s="9" t="s">
        <v>149</v>
      </c>
      <c r="D204" s="9" t="s">
        <v>6</v>
      </c>
      <c r="E204" s="21"/>
      <c r="F204" s="22"/>
      <c r="G204" s="22"/>
    </row>
    <row r="205" spans="1:7" ht="58.5" customHeight="1" hidden="1">
      <c r="A205" s="10" t="s">
        <v>9</v>
      </c>
      <c r="B205" s="9" t="s">
        <v>167</v>
      </c>
      <c r="C205" s="9" t="s">
        <v>149</v>
      </c>
      <c r="D205" s="9" t="s">
        <v>10</v>
      </c>
      <c r="E205" s="21"/>
      <c r="F205" s="22"/>
      <c r="G205" s="22"/>
    </row>
    <row r="206" spans="1:7" ht="89.25" customHeight="1">
      <c r="A206" s="10" t="s">
        <v>26</v>
      </c>
      <c r="B206" s="9" t="s">
        <v>167</v>
      </c>
      <c r="C206" s="9" t="s">
        <v>149</v>
      </c>
      <c r="D206" s="9" t="s">
        <v>27</v>
      </c>
      <c r="E206" s="22">
        <f>849819+100000-210105</f>
        <v>739714</v>
      </c>
      <c r="F206" s="22">
        <f>849819</f>
        <v>849819</v>
      </c>
      <c r="G206" s="22">
        <f>849819</f>
        <v>849819</v>
      </c>
    </row>
    <row r="207" spans="1:7" ht="24.75" customHeight="1">
      <c r="A207" s="10" t="s">
        <v>12</v>
      </c>
      <c r="B207" s="9" t="s">
        <v>167</v>
      </c>
      <c r="C207" s="9" t="s">
        <v>149</v>
      </c>
      <c r="D207" s="9" t="s">
        <v>13</v>
      </c>
      <c r="E207" s="22">
        <f>22492+100</f>
        <v>22592</v>
      </c>
      <c r="F207" s="22"/>
      <c r="G207" s="22"/>
    </row>
    <row r="208" spans="1:7" ht="62.25" customHeight="1">
      <c r="A208" s="17" t="s">
        <v>127</v>
      </c>
      <c r="B208" s="8" t="s">
        <v>126</v>
      </c>
      <c r="C208" s="8"/>
      <c r="D208" s="8"/>
      <c r="E208" s="21">
        <f aca="true" t="shared" si="4" ref="E208:G209">E209</f>
        <v>26947</v>
      </c>
      <c r="F208" s="21">
        <f t="shared" si="4"/>
        <v>40000</v>
      </c>
      <c r="G208" s="21">
        <f t="shared" si="4"/>
        <v>40000</v>
      </c>
    </row>
    <row r="209" spans="1:7" ht="114" customHeight="1">
      <c r="A209" s="17" t="s">
        <v>177</v>
      </c>
      <c r="B209" s="8" t="s">
        <v>126</v>
      </c>
      <c r="C209" s="8" t="s">
        <v>140</v>
      </c>
      <c r="D209" s="8"/>
      <c r="E209" s="21">
        <f t="shared" si="4"/>
        <v>26947</v>
      </c>
      <c r="F209" s="21">
        <f t="shared" si="4"/>
        <v>40000</v>
      </c>
      <c r="G209" s="21">
        <f t="shared" si="4"/>
        <v>40000</v>
      </c>
    </row>
    <row r="210" spans="1:7" ht="54">
      <c r="A210" s="10" t="s">
        <v>9</v>
      </c>
      <c r="B210" s="9" t="s">
        <v>126</v>
      </c>
      <c r="C210" s="9" t="s">
        <v>140</v>
      </c>
      <c r="D210" s="9" t="s">
        <v>10</v>
      </c>
      <c r="E210" s="22">
        <f>40000-13053</f>
        <v>26947</v>
      </c>
      <c r="F210" s="22">
        <f>40000</f>
        <v>40000</v>
      </c>
      <c r="G210" s="22">
        <f>40000</f>
        <v>40000</v>
      </c>
    </row>
    <row r="211" spans="1:7" ht="39.75" customHeight="1">
      <c r="A211" s="11" t="s">
        <v>58</v>
      </c>
      <c r="B211" s="8" t="s">
        <v>59</v>
      </c>
      <c r="C211" s="8" t="s">
        <v>0</v>
      </c>
      <c r="D211" s="8" t="s">
        <v>0</v>
      </c>
      <c r="E211" s="21">
        <f>E215+E221+E212+E219</f>
        <v>6950993.28</v>
      </c>
      <c r="F211" s="21">
        <f>F215+F221+F212</f>
        <v>6218865</v>
      </c>
      <c r="G211" s="21">
        <f>G215+G221+G212</f>
        <v>6218865</v>
      </c>
    </row>
    <row r="212" spans="1:7" ht="79.5" customHeight="1">
      <c r="A212" s="17" t="s">
        <v>184</v>
      </c>
      <c r="B212" s="8" t="s">
        <v>59</v>
      </c>
      <c r="C212" s="8" t="s">
        <v>139</v>
      </c>
      <c r="D212" s="8"/>
      <c r="E212" s="21">
        <f aca="true" t="shared" si="5" ref="E212:G213">E213</f>
        <v>1684600</v>
      </c>
      <c r="F212" s="21">
        <f t="shared" si="5"/>
        <v>1515087</v>
      </c>
      <c r="G212" s="21">
        <f t="shared" si="5"/>
        <v>1515087</v>
      </c>
    </row>
    <row r="213" spans="1:7" ht="59.25" customHeight="1">
      <c r="A213" s="17" t="s">
        <v>193</v>
      </c>
      <c r="B213" s="8" t="s">
        <v>59</v>
      </c>
      <c r="C213" s="8" t="s">
        <v>157</v>
      </c>
      <c r="D213" s="8"/>
      <c r="E213" s="21">
        <f t="shared" si="5"/>
        <v>1684600</v>
      </c>
      <c r="F213" s="21">
        <f t="shared" si="5"/>
        <v>1515087</v>
      </c>
      <c r="G213" s="21">
        <f t="shared" si="5"/>
        <v>1515087</v>
      </c>
    </row>
    <row r="214" spans="1:7" ht="54">
      <c r="A214" s="10" t="s">
        <v>9</v>
      </c>
      <c r="B214" s="9" t="s">
        <v>59</v>
      </c>
      <c r="C214" s="9" t="s">
        <v>157</v>
      </c>
      <c r="D214" s="9" t="s">
        <v>10</v>
      </c>
      <c r="E214" s="22">
        <f>1275300+141700+57000+210600</f>
        <v>1684600</v>
      </c>
      <c r="F214" s="22">
        <f>141687+1373400</f>
        <v>1515087</v>
      </c>
      <c r="G214" s="22">
        <f>141687+1373400</f>
        <v>1515087</v>
      </c>
    </row>
    <row r="215" spans="1:7" ht="114" customHeight="1">
      <c r="A215" s="17" t="s">
        <v>186</v>
      </c>
      <c r="B215" s="8" t="s">
        <v>59</v>
      </c>
      <c r="C215" s="8" t="s">
        <v>141</v>
      </c>
      <c r="D215" s="8" t="s">
        <v>0</v>
      </c>
      <c r="E215" s="21">
        <f>SUM(E216:E218)</f>
        <v>5266392.49</v>
      </c>
      <c r="F215" s="21">
        <f>SUM(F216:F218)</f>
        <v>4703778</v>
      </c>
      <c r="G215" s="21">
        <f>SUM(G216:G218)</f>
        <v>4703778</v>
      </c>
    </row>
    <row r="216" spans="1:7" ht="126" customHeight="1">
      <c r="A216" s="10" t="s">
        <v>5</v>
      </c>
      <c r="B216" s="9" t="s">
        <v>59</v>
      </c>
      <c r="C216" s="9" t="s">
        <v>141</v>
      </c>
      <c r="D216" s="9" t="s">
        <v>6</v>
      </c>
      <c r="E216" s="22">
        <f>4173038-664732.72-1614.06-904.17-160300</f>
        <v>3345487.0500000003</v>
      </c>
      <c r="F216" s="22">
        <f>4173038</f>
        <v>4173038</v>
      </c>
      <c r="G216" s="22">
        <f>4173038</f>
        <v>4173038</v>
      </c>
    </row>
    <row r="217" spans="1:7" ht="51" customHeight="1">
      <c r="A217" s="10" t="s">
        <v>9</v>
      </c>
      <c r="B217" s="9" t="s">
        <v>59</v>
      </c>
      <c r="C217" s="9" t="s">
        <v>141</v>
      </c>
      <c r="D217" s="9" t="s">
        <v>10</v>
      </c>
      <c r="E217" s="22">
        <f>737404+327769+25765-0.79+600000-904.17+219350+904.17+8100</f>
        <v>1918387.21</v>
      </c>
      <c r="F217" s="22">
        <f>530740</f>
        <v>530740</v>
      </c>
      <c r="G217" s="22">
        <f>530740</f>
        <v>530740</v>
      </c>
    </row>
    <row r="218" spans="1:7" ht="36">
      <c r="A218" s="10" t="s">
        <v>32</v>
      </c>
      <c r="B218" s="9" t="s">
        <v>59</v>
      </c>
      <c r="C218" s="9" t="s">
        <v>159</v>
      </c>
      <c r="D218" s="9" t="s">
        <v>33</v>
      </c>
      <c r="E218" s="22">
        <f>904.17+1614.06</f>
        <v>2518.23</v>
      </c>
      <c r="F218" s="22"/>
      <c r="G218" s="22"/>
    </row>
    <row r="219" spans="1:7" ht="1.5" customHeight="1">
      <c r="A219" s="11" t="s">
        <v>151</v>
      </c>
      <c r="B219" s="8" t="s">
        <v>59</v>
      </c>
      <c r="C219" s="8" t="s">
        <v>152</v>
      </c>
      <c r="D219" s="8"/>
      <c r="E219" s="21">
        <f>E220</f>
        <v>0</v>
      </c>
      <c r="F219" s="21">
        <f>F220</f>
        <v>0</v>
      </c>
      <c r="G219" s="21">
        <f>G220</f>
        <v>0</v>
      </c>
    </row>
    <row r="220" spans="1:7" ht="54" hidden="1">
      <c r="A220" s="10" t="s">
        <v>9</v>
      </c>
      <c r="B220" s="9" t="s">
        <v>59</v>
      </c>
      <c r="C220" s="9" t="s">
        <v>152</v>
      </c>
      <c r="D220" s="9" t="s">
        <v>10</v>
      </c>
      <c r="E220" s="22"/>
      <c r="F220" s="22"/>
      <c r="G220" s="22"/>
    </row>
    <row r="221" spans="1:7" ht="69" customHeight="1">
      <c r="A221" s="11" t="s">
        <v>101</v>
      </c>
      <c r="B221" s="8" t="s">
        <v>59</v>
      </c>
      <c r="C221" s="8" t="s">
        <v>135</v>
      </c>
      <c r="D221" s="8" t="s">
        <v>0</v>
      </c>
      <c r="E221" s="21">
        <f>SUM(E222:E225)</f>
        <v>0.79</v>
      </c>
      <c r="F221" s="21">
        <f>SUM(F222:F225)</f>
        <v>0</v>
      </c>
      <c r="G221" s="21">
        <f>SUM(G222:G225)</f>
        <v>0</v>
      </c>
    </row>
    <row r="222" spans="1:7" ht="144" hidden="1">
      <c r="A222" s="10" t="s">
        <v>5</v>
      </c>
      <c r="B222" s="9" t="s">
        <v>59</v>
      </c>
      <c r="C222" s="9" t="s">
        <v>135</v>
      </c>
      <c r="D222" s="9" t="s">
        <v>6</v>
      </c>
      <c r="E222" s="22"/>
      <c r="F222" s="22"/>
      <c r="G222" s="22"/>
    </row>
    <row r="223" spans="1:7" ht="54" hidden="1">
      <c r="A223" s="10" t="s">
        <v>9</v>
      </c>
      <c r="B223" s="9" t="s">
        <v>59</v>
      </c>
      <c r="C223" s="9" t="s">
        <v>135</v>
      </c>
      <c r="D223" s="9" t="s">
        <v>10</v>
      </c>
      <c r="E223" s="22"/>
      <c r="F223" s="22"/>
      <c r="G223" s="22"/>
    </row>
    <row r="224" spans="1:7" ht="36" hidden="1">
      <c r="A224" s="10" t="s">
        <v>32</v>
      </c>
      <c r="B224" s="9" t="s">
        <v>59</v>
      </c>
      <c r="C224" s="9" t="s">
        <v>135</v>
      </c>
      <c r="D224" s="9" t="s">
        <v>33</v>
      </c>
      <c r="E224" s="22"/>
      <c r="F224" s="22"/>
      <c r="G224" s="22"/>
    </row>
    <row r="225" spans="1:7" ht="18">
      <c r="A225" s="10" t="s">
        <v>12</v>
      </c>
      <c r="B225" s="9" t="s">
        <v>59</v>
      </c>
      <c r="C225" s="9" t="s">
        <v>135</v>
      </c>
      <c r="D225" s="9" t="s">
        <v>13</v>
      </c>
      <c r="E225" s="22">
        <f>0.79</f>
        <v>0.79</v>
      </c>
      <c r="F225" s="22"/>
      <c r="G225" s="22"/>
    </row>
    <row r="226" spans="1:7" ht="34.5">
      <c r="A226" s="11" t="s">
        <v>61</v>
      </c>
      <c r="B226" s="8" t="s">
        <v>62</v>
      </c>
      <c r="C226" s="8" t="s">
        <v>0</v>
      </c>
      <c r="D226" s="8" t="s">
        <v>0</v>
      </c>
      <c r="E226" s="21">
        <f>E230+E262+E227+E259+E250+E256+E252</f>
        <v>12957908.25</v>
      </c>
      <c r="F226" s="21">
        <f>F230+F262+F227+F259+F250+F256</f>
        <v>9523890</v>
      </c>
      <c r="G226" s="21">
        <f>G230+G262+G227+G259+G250+G256</f>
        <v>9523890</v>
      </c>
    </row>
    <row r="227" spans="1:7" ht="147" customHeight="1">
      <c r="A227" s="11" t="s">
        <v>178</v>
      </c>
      <c r="B227" s="8" t="s">
        <v>62</v>
      </c>
      <c r="C227" s="8" t="s">
        <v>134</v>
      </c>
      <c r="D227" s="8"/>
      <c r="E227" s="21">
        <f>SUM(E228:E229)</f>
        <v>3039050.62</v>
      </c>
      <c r="F227" s="21">
        <f>SUM(F228:F229)</f>
        <v>2720283</v>
      </c>
      <c r="G227" s="21">
        <f>SUM(G228:G229)</f>
        <v>2720283</v>
      </c>
    </row>
    <row r="228" spans="1:7" ht="129" customHeight="1">
      <c r="A228" s="10" t="s">
        <v>5</v>
      </c>
      <c r="B228" s="9" t="s">
        <v>62</v>
      </c>
      <c r="C228" s="9" t="s">
        <v>134</v>
      </c>
      <c r="D228" s="9" t="s">
        <v>6</v>
      </c>
      <c r="E228" s="22">
        <f>2699283-21232.38</f>
        <v>2678050.62</v>
      </c>
      <c r="F228" s="22">
        <f>2699283</f>
        <v>2699283</v>
      </c>
      <c r="G228" s="22">
        <f>2699283</f>
        <v>2699283</v>
      </c>
    </row>
    <row r="229" spans="1:7" ht="54">
      <c r="A229" s="10" t="s">
        <v>9</v>
      </c>
      <c r="B229" s="9" t="s">
        <v>62</v>
      </c>
      <c r="C229" s="9" t="s">
        <v>134</v>
      </c>
      <c r="D229" s="9" t="s">
        <v>10</v>
      </c>
      <c r="E229" s="22">
        <f>229000+132000</f>
        <v>361000</v>
      </c>
      <c r="F229" s="22">
        <f>21000</f>
        <v>21000</v>
      </c>
      <c r="G229" s="22">
        <f>21000</f>
        <v>21000</v>
      </c>
    </row>
    <row r="230" spans="1:7" ht="93" customHeight="1">
      <c r="A230" s="11" t="s">
        <v>184</v>
      </c>
      <c r="B230" s="8" t="s">
        <v>62</v>
      </c>
      <c r="C230" s="8" t="s">
        <v>139</v>
      </c>
      <c r="D230" s="8" t="s">
        <v>0</v>
      </c>
      <c r="E230" s="21">
        <f>E231+E234+E237+E240+E244+E247</f>
        <v>2459878.12</v>
      </c>
      <c r="F230" s="21">
        <f>F231+F234+F237+F240+F244+F247</f>
        <v>0</v>
      </c>
      <c r="G230" s="21">
        <f>G231+G234+G237+G240+G244+G247</f>
        <v>0</v>
      </c>
    </row>
    <row r="231" spans="1:7" ht="0.75" customHeight="1" hidden="1">
      <c r="A231" s="17" t="s">
        <v>103</v>
      </c>
      <c r="B231" s="8" t="s">
        <v>62</v>
      </c>
      <c r="C231" s="8" t="s">
        <v>109</v>
      </c>
      <c r="D231" s="8"/>
      <c r="E231" s="21">
        <f>SUM(E232:E233)</f>
        <v>0</v>
      </c>
      <c r="F231" s="21">
        <f>SUM(F232:F233)</f>
        <v>0</v>
      </c>
      <c r="G231" s="21">
        <f>SUM(G232:G233)</f>
        <v>0</v>
      </c>
    </row>
    <row r="232" spans="1:7" ht="54" hidden="1">
      <c r="A232" s="10" t="s">
        <v>9</v>
      </c>
      <c r="B232" s="9" t="s">
        <v>62</v>
      </c>
      <c r="C232" s="9" t="s">
        <v>109</v>
      </c>
      <c r="D232" s="9" t="s">
        <v>10</v>
      </c>
      <c r="E232" s="21"/>
      <c r="F232" s="21"/>
      <c r="G232" s="21"/>
    </row>
    <row r="233" spans="1:7" ht="72" hidden="1">
      <c r="A233" s="10" t="s">
        <v>26</v>
      </c>
      <c r="B233" s="9" t="s">
        <v>62</v>
      </c>
      <c r="C233" s="9" t="s">
        <v>109</v>
      </c>
      <c r="D233" s="9" t="s">
        <v>27</v>
      </c>
      <c r="E233" s="21"/>
      <c r="F233" s="21"/>
      <c r="G233" s="21"/>
    </row>
    <row r="234" spans="1:7" ht="46.5" customHeight="1" hidden="1">
      <c r="A234" s="17" t="s">
        <v>104</v>
      </c>
      <c r="B234" s="8" t="s">
        <v>62</v>
      </c>
      <c r="C234" s="8" t="s">
        <v>40</v>
      </c>
      <c r="D234" s="8"/>
      <c r="E234" s="21">
        <f>SUM(E235:E236)</f>
        <v>0</v>
      </c>
      <c r="F234" s="21">
        <f>SUM(F235:F236)</f>
        <v>0</v>
      </c>
      <c r="G234" s="21">
        <f>SUM(G235:G236)</f>
        <v>0</v>
      </c>
    </row>
    <row r="235" spans="1:7" ht="26.25" customHeight="1" hidden="1">
      <c r="A235" s="10" t="s">
        <v>9</v>
      </c>
      <c r="B235" s="9" t="s">
        <v>62</v>
      </c>
      <c r="C235" s="9" t="s">
        <v>40</v>
      </c>
      <c r="D235" s="9" t="s">
        <v>10</v>
      </c>
      <c r="E235" s="21"/>
      <c r="F235" s="21"/>
      <c r="G235" s="21"/>
    </row>
    <row r="236" spans="1:7" ht="26.25" customHeight="1" hidden="1">
      <c r="A236" s="10" t="s">
        <v>26</v>
      </c>
      <c r="B236" s="9" t="s">
        <v>62</v>
      </c>
      <c r="C236" s="9" t="s">
        <v>40</v>
      </c>
      <c r="D236" s="9" t="s">
        <v>27</v>
      </c>
      <c r="E236" s="21"/>
      <c r="F236" s="21"/>
      <c r="G236" s="21"/>
    </row>
    <row r="237" spans="1:7" ht="27.75" customHeight="1" hidden="1">
      <c r="A237" s="17" t="s">
        <v>105</v>
      </c>
      <c r="B237" s="8" t="s">
        <v>62</v>
      </c>
      <c r="C237" s="8" t="s">
        <v>110</v>
      </c>
      <c r="D237" s="8"/>
      <c r="E237" s="21">
        <f>SUM(E238:E239)</f>
        <v>0</v>
      </c>
      <c r="F237" s="21">
        <f>SUM(F238:F239)</f>
        <v>0</v>
      </c>
      <c r="G237" s="21">
        <f>SUM(G238:G239)</f>
        <v>0</v>
      </c>
    </row>
    <row r="238" spans="1:7" ht="18" customHeight="1" hidden="1">
      <c r="A238" s="10" t="s">
        <v>9</v>
      </c>
      <c r="B238" s="9" t="s">
        <v>62</v>
      </c>
      <c r="C238" s="9" t="s">
        <v>110</v>
      </c>
      <c r="D238" s="9" t="s">
        <v>10</v>
      </c>
      <c r="E238" s="21"/>
      <c r="F238" s="21"/>
      <c r="G238" s="21"/>
    </row>
    <row r="239" spans="1:7" ht="19.5" customHeight="1" hidden="1">
      <c r="A239" s="10" t="s">
        <v>26</v>
      </c>
      <c r="B239" s="9" t="s">
        <v>62</v>
      </c>
      <c r="C239" s="9" t="s">
        <v>110</v>
      </c>
      <c r="D239" s="9" t="s">
        <v>27</v>
      </c>
      <c r="E239" s="21"/>
      <c r="F239" s="21"/>
      <c r="G239" s="21"/>
    </row>
    <row r="240" spans="1:7" ht="78" customHeight="1">
      <c r="A240" s="11" t="s">
        <v>192</v>
      </c>
      <c r="B240" s="8" t="s">
        <v>62</v>
      </c>
      <c r="C240" s="8" t="s">
        <v>190</v>
      </c>
      <c r="D240" s="8"/>
      <c r="E240" s="21">
        <f>SUM(E241:E242)+E243</f>
        <v>2459878.12</v>
      </c>
      <c r="F240" s="21">
        <f>SUM(F241:F242)+F243</f>
        <v>0</v>
      </c>
      <c r="G240" s="21">
        <f>SUM(G241:G242)+G243</f>
        <v>0</v>
      </c>
    </row>
    <row r="241" spans="1:7" ht="144">
      <c r="A241" s="10" t="s">
        <v>5</v>
      </c>
      <c r="B241" s="9" t="s">
        <v>62</v>
      </c>
      <c r="C241" s="9" t="s">
        <v>190</v>
      </c>
      <c r="D241" s="9" t="s">
        <v>6</v>
      </c>
      <c r="E241" s="29">
        <f>33175+33650-19150+235477.12</f>
        <v>283152.12</v>
      </c>
      <c r="F241" s="22"/>
      <c r="G241" s="22"/>
    </row>
    <row r="242" spans="1:7" ht="51.75" customHeight="1">
      <c r="A242" s="10" t="s">
        <v>9</v>
      </c>
      <c r="B242" s="9" t="s">
        <v>62</v>
      </c>
      <c r="C242" s="9" t="s">
        <v>190</v>
      </c>
      <c r="D242" s="9" t="s">
        <v>10</v>
      </c>
      <c r="E242" s="22">
        <f>720165+60000+1006674+99631+27860-14000+66825-33650+19150+364071+50000-190000</f>
        <v>2176726</v>
      </c>
      <c r="F242" s="22"/>
      <c r="G242" s="22"/>
    </row>
    <row r="243" spans="1:7" ht="3.75" customHeight="1" hidden="1">
      <c r="A243" s="10" t="s">
        <v>26</v>
      </c>
      <c r="B243" s="9" t="s">
        <v>62</v>
      </c>
      <c r="C243" s="9" t="s">
        <v>190</v>
      </c>
      <c r="D243" s="9" t="s">
        <v>27</v>
      </c>
      <c r="E243" s="22"/>
      <c r="F243" s="22"/>
      <c r="G243" s="22"/>
    </row>
    <row r="244" spans="1:7" ht="69" hidden="1">
      <c r="A244" s="17" t="s">
        <v>106</v>
      </c>
      <c r="B244" s="8" t="s">
        <v>62</v>
      </c>
      <c r="C244" s="8" t="s">
        <v>112</v>
      </c>
      <c r="D244" s="8"/>
      <c r="E244" s="21">
        <f>SUM(E245:E246)</f>
        <v>0</v>
      </c>
      <c r="F244" s="21">
        <f>SUM(F245:F246)</f>
        <v>0</v>
      </c>
      <c r="G244" s="21">
        <f>SUM(G245:G246)</f>
        <v>0</v>
      </c>
    </row>
    <row r="245" spans="1:7" ht="54" hidden="1">
      <c r="A245" s="10" t="s">
        <v>9</v>
      </c>
      <c r="B245" s="9" t="s">
        <v>62</v>
      </c>
      <c r="C245" s="9" t="s">
        <v>112</v>
      </c>
      <c r="D245" s="9" t="s">
        <v>10</v>
      </c>
      <c r="E245" s="21"/>
      <c r="F245" s="21"/>
      <c r="G245" s="21"/>
    </row>
    <row r="246" spans="1:7" ht="72" hidden="1">
      <c r="A246" s="10" t="s">
        <v>26</v>
      </c>
      <c r="B246" s="9" t="s">
        <v>62</v>
      </c>
      <c r="C246" s="9" t="s">
        <v>112</v>
      </c>
      <c r="D246" s="9" t="s">
        <v>27</v>
      </c>
      <c r="E246" s="21"/>
      <c r="F246" s="21"/>
      <c r="G246" s="21"/>
    </row>
    <row r="247" spans="1:7" ht="17.25" hidden="1">
      <c r="A247" s="26"/>
      <c r="B247" s="8" t="s">
        <v>62</v>
      </c>
      <c r="C247" s="8"/>
      <c r="D247" s="8"/>
      <c r="E247" s="21">
        <f>SUM(E248:E249)</f>
        <v>0</v>
      </c>
      <c r="F247" s="21">
        <f>SUM(F248:F249)</f>
        <v>0</v>
      </c>
      <c r="G247" s="21">
        <f>SUM(G248:G249)</f>
        <v>0</v>
      </c>
    </row>
    <row r="248" spans="1:7" ht="54" hidden="1">
      <c r="A248" s="10" t="s">
        <v>9</v>
      </c>
      <c r="B248" s="9" t="s">
        <v>62</v>
      </c>
      <c r="C248" s="9" t="s">
        <v>142</v>
      </c>
      <c r="D248" s="9" t="s">
        <v>10</v>
      </c>
      <c r="E248" s="22"/>
      <c r="F248" s="22"/>
      <c r="G248" s="22"/>
    </row>
    <row r="249" spans="1:7" ht="72" hidden="1">
      <c r="A249" s="10" t="s">
        <v>26</v>
      </c>
      <c r="B249" s="9" t="s">
        <v>62</v>
      </c>
      <c r="C249" s="9" t="s">
        <v>142</v>
      </c>
      <c r="D249" s="9" t="s">
        <v>27</v>
      </c>
      <c r="E249" s="22"/>
      <c r="F249" s="22"/>
      <c r="G249" s="22"/>
    </row>
    <row r="250" spans="1:7" ht="104.25">
      <c r="A250" s="11" t="s">
        <v>185</v>
      </c>
      <c r="B250" s="8" t="s">
        <v>62</v>
      </c>
      <c r="C250" s="8" t="s">
        <v>164</v>
      </c>
      <c r="D250" s="9"/>
      <c r="E250" s="21">
        <f>E251</f>
        <v>101920</v>
      </c>
      <c r="F250" s="21">
        <f>F251</f>
        <v>0</v>
      </c>
      <c r="G250" s="21">
        <f>G251</f>
        <v>0</v>
      </c>
    </row>
    <row r="251" spans="1:7" ht="54">
      <c r="A251" s="10" t="s">
        <v>9</v>
      </c>
      <c r="B251" s="9" t="s">
        <v>62</v>
      </c>
      <c r="C251" s="9" t="s">
        <v>164</v>
      </c>
      <c r="D251" s="9" t="s">
        <v>10</v>
      </c>
      <c r="E251" s="22">
        <f>50960+50960</f>
        <v>101920</v>
      </c>
      <c r="F251" s="22"/>
      <c r="G251" s="22"/>
    </row>
    <row r="252" spans="1:7" ht="87">
      <c r="A252" s="11" t="s">
        <v>100</v>
      </c>
      <c r="B252" s="8" t="s">
        <v>62</v>
      </c>
      <c r="C252" s="8" t="s">
        <v>133</v>
      </c>
      <c r="D252" s="8"/>
      <c r="E252" s="21">
        <f>E255</f>
        <v>25642</v>
      </c>
      <c r="F252" s="21">
        <f>F255</f>
        <v>0</v>
      </c>
      <c r="G252" s="21">
        <f>G255</f>
        <v>0</v>
      </c>
    </row>
    <row r="253" spans="1:7" ht="144" hidden="1">
      <c r="A253" s="10" t="s">
        <v>5</v>
      </c>
      <c r="B253" s="9" t="s">
        <v>62</v>
      </c>
      <c r="C253" s="9" t="s">
        <v>133</v>
      </c>
      <c r="D253" s="9" t="s">
        <v>6</v>
      </c>
      <c r="E253" s="22"/>
      <c r="F253" s="22"/>
      <c r="G253" s="22"/>
    </row>
    <row r="254" spans="1:7" ht="54" hidden="1">
      <c r="A254" s="10" t="s">
        <v>9</v>
      </c>
      <c r="B254" s="9" t="s">
        <v>62</v>
      </c>
      <c r="C254" s="9" t="s">
        <v>133</v>
      </c>
      <c r="D254" s="9" t="s">
        <v>10</v>
      </c>
      <c r="E254" s="22"/>
      <c r="F254" s="22"/>
      <c r="G254" s="22"/>
    </row>
    <row r="255" spans="1:7" ht="36">
      <c r="A255" s="10" t="s">
        <v>32</v>
      </c>
      <c r="B255" s="9" t="s">
        <v>62</v>
      </c>
      <c r="C255" s="9" t="s">
        <v>133</v>
      </c>
      <c r="D255" s="9" t="s">
        <v>33</v>
      </c>
      <c r="E255" s="22">
        <f>25642</f>
        <v>25642</v>
      </c>
      <c r="F255" s="22"/>
      <c r="G255" s="22"/>
    </row>
    <row r="256" spans="1:7" ht="150" customHeight="1">
      <c r="A256" s="11" t="s">
        <v>181</v>
      </c>
      <c r="B256" s="8" t="s">
        <v>62</v>
      </c>
      <c r="C256" s="8" t="s">
        <v>161</v>
      </c>
      <c r="D256" s="8"/>
      <c r="E256" s="21">
        <f>SUM(E257:E258)</f>
        <v>7305417.51</v>
      </c>
      <c r="F256" s="21">
        <f>SUM(F257:F258)</f>
        <v>6797607</v>
      </c>
      <c r="G256" s="21">
        <f>SUM(G257:G258)</f>
        <v>6797607</v>
      </c>
    </row>
    <row r="257" spans="1:7" ht="132.75" customHeight="1">
      <c r="A257" s="10" t="s">
        <v>5</v>
      </c>
      <c r="B257" s="9" t="s">
        <v>62</v>
      </c>
      <c r="C257" s="9" t="s">
        <v>161</v>
      </c>
      <c r="D257" s="9" t="s">
        <v>6</v>
      </c>
      <c r="E257" s="22">
        <f>6394375+263666-40355.49+7500</f>
        <v>6625185.51</v>
      </c>
      <c r="F257" s="22">
        <f>6394375</f>
        <v>6394375</v>
      </c>
      <c r="G257" s="22">
        <f>6394375</f>
        <v>6394375</v>
      </c>
    </row>
    <row r="258" spans="1:7" ht="57" customHeight="1">
      <c r="A258" s="10" t="s">
        <v>9</v>
      </c>
      <c r="B258" s="9" t="s">
        <v>62</v>
      </c>
      <c r="C258" s="9" t="s">
        <v>161</v>
      </c>
      <c r="D258" s="9" t="s">
        <v>10</v>
      </c>
      <c r="E258" s="22">
        <f>634482+53250-7500</f>
        <v>680232</v>
      </c>
      <c r="F258" s="22">
        <f>403232</f>
        <v>403232</v>
      </c>
      <c r="G258" s="22">
        <f>403232</f>
        <v>403232</v>
      </c>
    </row>
    <row r="259" spans="1:7" ht="87" hidden="1">
      <c r="A259" s="11" t="s">
        <v>100</v>
      </c>
      <c r="B259" s="8" t="s">
        <v>62</v>
      </c>
      <c r="C259" s="8" t="s">
        <v>133</v>
      </c>
      <c r="D259" s="8" t="s">
        <v>6</v>
      </c>
      <c r="E259" s="21">
        <f>E260+E261</f>
        <v>0</v>
      </c>
      <c r="F259" s="21">
        <f>F260+F261</f>
        <v>0</v>
      </c>
      <c r="G259" s="21">
        <f>G260+G261</f>
        <v>0</v>
      </c>
    </row>
    <row r="260" spans="1:7" ht="144" hidden="1">
      <c r="A260" s="10" t="s">
        <v>5</v>
      </c>
      <c r="B260" s="9" t="s">
        <v>62</v>
      </c>
      <c r="C260" s="9" t="s">
        <v>133</v>
      </c>
      <c r="D260" s="9" t="s">
        <v>6</v>
      </c>
      <c r="E260" s="22"/>
      <c r="F260" s="22"/>
      <c r="G260" s="22"/>
    </row>
    <row r="261" spans="1:7" ht="54" hidden="1">
      <c r="A261" s="10" t="s">
        <v>9</v>
      </c>
      <c r="B261" s="9" t="s">
        <v>62</v>
      </c>
      <c r="C261" s="9" t="s">
        <v>133</v>
      </c>
      <c r="D261" s="9" t="s">
        <v>10</v>
      </c>
      <c r="E261" s="22"/>
      <c r="F261" s="22"/>
      <c r="G261" s="22"/>
    </row>
    <row r="262" spans="1:7" ht="84" customHeight="1">
      <c r="A262" s="11" t="s">
        <v>101</v>
      </c>
      <c r="B262" s="8" t="s">
        <v>62</v>
      </c>
      <c r="C262" s="8" t="s">
        <v>135</v>
      </c>
      <c r="D262" s="8" t="s">
        <v>0</v>
      </c>
      <c r="E262" s="21">
        <f>SUM(E263:E267)</f>
        <v>26000</v>
      </c>
      <c r="F262" s="21">
        <f>SUM(F263:F267)</f>
        <v>6000</v>
      </c>
      <c r="G262" s="21">
        <f>SUM(G263:G267)</f>
        <v>6000</v>
      </c>
    </row>
    <row r="263" spans="1:7" ht="144" hidden="1">
      <c r="A263" s="10" t="s">
        <v>5</v>
      </c>
      <c r="B263" s="9" t="s">
        <v>62</v>
      </c>
      <c r="C263" s="9" t="s">
        <v>135</v>
      </c>
      <c r="D263" s="9" t="s">
        <v>6</v>
      </c>
      <c r="E263" s="22"/>
      <c r="F263" s="22"/>
      <c r="G263" s="22"/>
    </row>
    <row r="264" spans="1:7" ht="54">
      <c r="A264" s="10" t="s">
        <v>9</v>
      </c>
      <c r="B264" s="9" t="s">
        <v>62</v>
      </c>
      <c r="C264" s="9" t="s">
        <v>135</v>
      </c>
      <c r="D264" s="9" t="s">
        <v>10</v>
      </c>
      <c r="E264" s="22">
        <f>20000</f>
        <v>20000</v>
      </c>
      <c r="F264" s="22"/>
      <c r="G264" s="22"/>
    </row>
    <row r="265" spans="1:7" ht="45" customHeight="1">
      <c r="A265" s="10" t="s">
        <v>32</v>
      </c>
      <c r="B265" s="9" t="s">
        <v>62</v>
      </c>
      <c r="C265" s="9" t="s">
        <v>135</v>
      </c>
      <c r="D265" s="9" t="s">
        <v>33</v>
      </c>
      <c r="E265" s="22">
        <f>6000</f>
        <v>6000</v>
      </c>
      <c r="F265" s="22">
        <f>6000</f>
        <v>6000</v>
      </c>
      <c r="G265" s="22">
        <f>6000</f>
        <v>6000</v>
      </c>
    </row>
    <row r="266" spans="1:7" ht="72" hidden="1">
      <c r="A266" s="10" t="s">
        <v>26</v>
      </c>
      <c r="B266" s="9" t="s">
        <v>62</v>
      </c>
      <c r="C266" s="9" t="s">
        <v>135</v>
      </c>
      <c r="D266" s="9" t="s">
        <v>27</v>
      </c>
      <c r="E266" s="22"/>
      <c r="F266" s="22"/>
      <c r="G266" s="22"/>
    </row>
    <row r="267" spans="1:7" ht="18" hidden="1">
      <c r="A267" s="10" t="s">
        <v>12</v>
      </c>
      <c r="B267" s="9" t="s">
        <v>62</v>
      </c>
      <c r="C267" s="9" t="s">
        <v>135</v>
      </c>
      <c r="D267" s="9" t="s">
        <v>13</v>
      </c>
      <c r="E267" s="22"/>
      <c r="F267" s="22"/>
      <c r="G267" s="22"/>
    </row>
    <row r="268" spans="1:7" ht="18" hidden="1">
      <c r="A268" s="10"/>
      <c r="B268" s="9"/>
      <c r="C268" s="9"/>
      <c r="D268" s="9"/>
      <c r="E268" s="21"/>
      <c r="F268" s="21"/>
      <c r="G268" s="21"/>
    </row>
    <row r="269" spans="1:7" ht="34.5">
      <c r="A269" s="11" t="s">
        <v>63</v>
      </c>
      <c r="B269" s="8" t="s">
        <v>64</v>
      </c>
      <c r="C269" s="8"/>
      <c r="D269" s="8"/>
      <c r="E269" s="21">
        <f>E270+E283</f>
        <v>37398450.77</v>
      </c>
      <c r="F269" s="21">
        <f>F270+F283</f>
        <v>11628131</v>
      </c>
      <c r="G269" s="21">
        <f>G270+G283</f>
        <v>11677446</v>
      </c>
    </row>
    <row r="270" spans="1:7" ht="17.25">
      <c r="A270" s="11" t="s">
        <v>65</v>
      </c>
      <c r="B270" s="8" t="s">
        <v>66</v>
      </c>
      <c r="C270" s="8"/>
      <c r="D270" s="8"/>
      <c r="E270" s="21">
        <f>E271+E279+E277</f>
        <v>30522968.01</v>
      </c>
      <c r="F270" s="21">
        <f>F271+F279</f>
        <v>9464800</v>
      </c>
      <c r="G270" s="21">
        <f>G271+G279</f>
        <v>9514115</v>
      </c>
    </row>
    <row r="271" spans="1:8" ht="108" customHeight="1">
      <c r="A271" s="11" t="s">
        <v>185</v>
      </c>
      <c r="B271" s="8" t="s">
        <v>66</v>
      </c>
      <c r="C271" s="8" t="s">
        <v>143</v>
      </c>
      <c r="D271" s="8" t="s">
        <v>0</v>
      </c>
      <c r="E271" s="21">
        <f>SUM(E272:E276)</f>
        <v>30518033.990000002</v>
      </c>
      <c r="F271" s="21">
        <f>SUM(F272:F276)</f>
        <v>9464800</v>
      </c>
      <c r="G271" s="21">
        <f>SUM(G272:G276)</f>
        <v>9514115</v>
      </c>
      <c r="H271" s="21"/>
    </row>
    <row r="272" spans="1:7" ht="135" customHeight="1">
      <c r="A272" s="10" t="s">
        <v>5</v>
      </c>
      <c r="B272" s="9" t="s">
        <v>66</v>
      </c>
      <c r="C272" s="9" t="s">
        <v>143</v>
      </c>
      <c r="D272" s="9" t="s">
        <v>6</v>
      </c>
      <c r="E272" s="22">
        <f>7252461+11752864-933.23-0.12-950376-85399-18618.68+117588.9-152036.44+16959.8+50986.51+5360-5249.81-300+2833+335-110539.82-36448.5</f>
        <v>17839486.61</v>
      </c>
      <c r="F272" s="22">
        <f>7252461</f>
        <v>7252461</v>
      </c>
      <c r="G272" s="22">
        <f>7252461</f>
        <v>7252461</v>
      </c>
    </row>
    <row r="273" spans="1:7" ht="54">
      <c r="A273" s="10" t="s">
        <v>9</v>
      </c>
      <c r="B273" s="9" t="s">
        <v>66</v>
      </c>
      <c r="C273" s="9" t="s">
        <v>143</v>
      </c>
      <c r="D273" s="9" t="s">
        <v>10</v>
      </c>
      <c r="E273" s="22">
        <f>2526850+2625273+19260+330000+2200000-0.79+645240+107952+101930.33+2066800-2200000+367337+26084+43386+400000+32268+22000+1200000+72300+607546+117000+177736+2800+1400+1400+1350000-72710.51-32250+5249.81+300-2833-335+164000-356187.4+8500+7500+100000+12750</f>
        <v>12678545.440000001</v>
      </c>
      <c r="F273" s="22">
        <f>2212339</f>
        <v>2212339</v>
      </c>
      <c r="G273" s="22">
        <f>2261654</f>
        <v>2261654</v>
      </c>
    </row>
    <row r="274" spans="1:7" ht="31.5" customHeight="1" hidden="1">
      <c r="A274" s="10" t="s">
        <v>24</v>
      </c>
      <c r="B274" s="9" t="s">
        <v>66</v>
      </c>
      <c r="C274" s="9" t="s">
        <v>99</v>
      </c>
      <c r="D274" s="9" t="s">
        <v>25</v>
      </c>
      <c r="E274" s="22"/>
      <c r="F274" s="22"/>
      <c r="G274" s="22"/>
    </row>
    <row r="275" spans="1:7" ht="72" hidden="1">
      <c r="A275" s="10" t="s">
        <v>26</v>
      </c>
      <c r="B275" s="9" t="s">
        <v>66</v>
      </c>
      <c r="C275" s="9" t="s">
        <v>99</v>
      </c>
      <c r="D275" s="9" t="s">
        <v>27</v>
      </c>
      <c r="E275" s="22"/>
      <c r="F275" s="22"/>
      <c r="G275" s="22"/>
    </row>
    <row r="276" spans="1:7" ht="18">
      <c r="A276" s="10" t="s">
        <v>12</v>
      </c>
      <c r="B276" s="9" t="s">
        <v>66</v>
      </c>
      <c r="C276" s="9" t="s">
        <v>143</v>
      </c>
      <c r="D276" s="9" t="s">
        <v>13</v>
      </c>
      <c r="E276" s="22">
        <f>0.12+1.82</f>
        <v>1.94</v>
      </c>
      <c r="F276" s="22"/>
      <c r="G276" s="22"/>
    </row>
    <row r="277" spans="1:7" ht="138.75" hidden="1">
      <c r="A277" s="11" t="s">
        <v>151</v>
      </c>
      <c r="B277" s="8" t="s">
        <v>66</v>
      </c>
      <c r="C277" s="8" t="s">
        <v>152</v>
      </c>
      <c r="D277" s="8"/>
      <c r="E277" s="21">
        <f>E278</f>
        <v>0</v>
      </c>
      <c r="F277" s="21"/>
      <c r="G277" s="21"/>
    </row>
    <row r="278" spans="1:7" ht="54" hidden="1">
      <c r="A278" s="10" t="s">
        <v>9</v>
      </c>
      <c r="B278" s="9" t="s">
        <v>66</v>
      </c>
      <c r="C278" s="9" t="s">
        <v>152</v>
      </c>
      <c r="D278" s="9" t="s">
        <v>10</v>
      </c>
      <c r="E278" s="22"/>
      <c r="F278" s="22"/>
      <c r="G278" s="22"/>
    </row>
    <row r="279" spans="1:7" ht="69">
      <c r="A279" s="11" t="s">
        <v>101</v>
      </c>
      <c r="B279" s="8" t="s">
        <v>66</v>
      </c>
      <c r="C279" s="8" t="s">
        <v>135</v>
      </c>
      <c r="D279" s="8" t="s">
        <v>0</v>
      </c>
      <c r="E279" s="21">
        <f>SUM(E280:E282)</f>
        <v>4934.02</v>
      </c>
      <c r="F279" s="21">
        <f>SUM(F280:F282)</f>
        <v>0</v>
      </c>
      <c r="G279" s="21">
        <f>SUM(G280:G282)</f>
        <v>0</v>
      </c>
    </row>
    <row r="280" spans="1:7" ht="144" hidden="1">
      <c r="A280" s="10" t="s">
        <v>5</v>
      </c>
      <c r="B280" s="9" t="s">
        <v>66</v>
      </c>
      <c r="C280" s="9" t="s">
        <v>135</v>
      </c>
      <c r="D280" s="9" t="s">
        <v>6</v>
      </c>
      <c r="E280" s="22"/>
      <c r="F280" s="22"/>
      <c r="G280" s="22"/>
    </row>
    <row r="281" spans="1:7" ht="54">
      <c r="A281" s="10" t="s">
        <v>9</v>
      </c>
      <c r="B281" s="9" t="s">
        <v>66</v>
      </c>
      <c r="C281" s="9" t="s">
        <v>135</v>
      </c>
      <c r="D281" s="9" t="s">
        <v>10</v>
      </c>
      <c r="E281" s="22">
        <f>4000</f>
        <v>4000</v>
      </c>
      <c r="F281" s="22"/>
      <c r="G281" s="22"/>
    </row>
    <row r="282" spans="1:7" ht="18">
      <c r="A282" s="10" t="s">
        <v>12</v>
      </c>
      <c r="B282" s="9" t="s">
        <v>66</v>
      </c>
      <c r="C282" s="9" t="s">
        <v>135</v>
      </c>
      <c r="D282" s="9" t="s">
        <v>13</v>
      </c>
      <c r="E282" s="22">
        <f>0.79+933.23+5600-2800-1400-1400</f>
        <v>934.0200000000004</v>
      </c>
      <c r="F282" s="22"/>
      <c r="G282" s="22"/>
    </row>
    <row r="283" spans="1:7" ht="39.75" customHeight="1">
      <c r="A283" s="11" t="s">
        <v>162</v>
      </c>
      <c r="B283" s="8" t="s">
        <v>163</v>
      </c>
      <c r="C283" s="9"/>
      <c r="D283" s="9"/>
      <c r="E283" s="21">
        <f>E284+E287+E290</f>
        <v>6875482.76</v>
      </c>
      <c r="F283" s="21">
        <f>F284+F287+F290</f>
        <v>2163331</v>
      </c>
      <c r="G283" s="21">
        <f>G284+G287+G290</f>
        <v>2163331</v>
      </c>
    </row>
    <row r="284" spans="1:7" ht="105" customHeight="1">
      <c r="A284" s="11" t="s">
        <v>185</v>
      </c>
      <c r="B284" s="8" t="s">
        <v>163</v>
      </c>
      <c r="C284" s="8" t="s">
        <v>164</v>
      </c>
      <c r="D284" s="8"/>
      <c r="E284" s="21">
        <f>E285+E286</f>
        <v>6875482.62</v>
      </c>
      <c r="F284" s="21">
        <f>F285+F286</f>
        <v>2163331</v>
      </c>
      <c r="G284" s="21">
        <f>G285+G286</f>
        <v>2163331</v>
      </c>
    </row>
    <row r="285" spans="1:7" ht="132.75" customHeight="1">
      <c r="A285" s="10" t="s">
        <v>5</v>
      </c>
      <c r="B285" s="9" t="s">
        <v>163</v>
      </c>
      <c r="C285" s="9" t="s">
        <v>164</v>
      </c>
      <c r="D285" s="9" t="s">
        <v>6</v>
      </c>
      <c r="E285" s="22">
        <f>2163331+5000014+6537-0.14-87344+41061-262644.24+10913</f>
        <v>6871867.62</v>
      </c>
      <c r="F285" s="22">
        <f>2163331</f>
        <v>2163331</v>
      </c>
      <c r="G285" s="22">
        <f>2163331</f>
        <v>2163331</v>
      </c>
    </row>
    <row r="286" spans="1:7" ht="51.75" customHeight="1">
      <c r="A286" s="10" t="s">
        <v>9</v>
      </c>
      <c r="B286" s="9" t="s">
        <v>163</v>
      </c>
      <c r="C286" s="9" t="s">
        <v>164</v>
      </c>
      <c r="D286" s="9" t="s">
        <v>10</v>
      </c>
      <c r="E286" s="22">
        <v>3615</v>
      </c>
      <c r="F286" s="22"/>
      <c r="G286" s="22"/>
    </row>
    <row r="287" spans="1:7" ht="121.5" hidden="1">
      <c r="A287" s="11" t="s">
        <v>160</v>
      </c>
      <c r="B287" s="8" t="s">
        <v>163</v>
      </c>
      <c r="C287" s="8" t="s">
        <v>161</v>
      </c>
      <c r="D287" s="9"/>
      <c r="E287" s="21">
        <f>E288+E289</f>
        <v>0</v>
      </c>
      <c r="F287" s="21">
        <f>F288+F289</f>
        <v>0</v>
      </c>
      <c r="G287" s="21">
        <f>G288+G289</f>
        <v>0</v>
      </c>
    </row>
    <row r="288" spans="1:7" ht="144" hidden="1">
      <c r="A288" s="10" t="s">
        <v>5</v>
      </c>
      <c r="B288" s="9" t="s">
        <v>163</v>
      </c>
      <c r="C288" s="9" t="s">
        <v>161</v>
      </c>
      <c r="D288" s="9" t="s">
        <v>6</v>
      </c>
      <c r="E288" s="22"/>
      <c r="F288" s="22"/>
      <c r="G288" s="22"/>
    </row>
    <row r="289" spans="1:7" s="19" customFormat="1" ht="54" hidden="1">
      <c r="A289" s="10" t="s">
        <v>9</v>
      </c>
      <c r="B289" s="9" t="s">
        <v>163</v>
      </c>
      <c r="C289" s="9" t="s">
        <v>161</v>
      </c>
      <c r="D289" s="9" t="s">
        <v>10</v>
      </c>
      <c r="E289" s="22"/>
      <c r="F289" s="22"/>
      <c r="G289" s="22"/>
    </row>
    <row r="290" spans="1:7" s="25" customFormat="1" ht="69">
      <c r="A290" s="11" t="s">
        <v>101</v>
      </c>
      <c r="B290" s="8" t="s">
        <v>163</v>
      </c>
      <c r="C290" s="8" t="s">
        <v>149</v>
      </c>
      <c r="D290" s="8"/>
      <c r="E290" s="21">
        <f>E291</f>
        <v>0.14</v>
      </c>
      <c r="F290" s="21">
        <f>F291</f>
        <v>0</v>
      </c>
      <c r="G290" s="21">
        <f>G291</f>
        <v>0</v>
      </c>
    </row>
    <row r="291" spans="1:7" ht="18">
      <c r="A291" s="10" t="s">
        <v>12</v>
      </c>
      <c r="B291" s="9" t="s">
        <v>163</v>
      </c>
      <c r="C291" s="9" t="s">
        <v>149</v>
      </c>
      <c r="D291" s="9" t="s">
        <v>13</v>
      </c>
      <c r="E291" s="22">
        <f>0.14</f>
        <v>0.14</v>
      </c>
      <c r="F291" s="22"/>
      <c r="G291" s="22"/>
    </row>
    <row r="292" spans="1:7" ht="17.25">
      <c r="A292" s="11" t="s">
        <v>67</v>
      </c>
      <c r="B292" s="8" t="s">
        <v>68</v>
      </c>
      <c r="C292" s="8" t="s">
        <v>0</v>
      </c>
      <c r="D292" s="8" t="s">
        <v>0</v>
      </c>
      <c r="E292" s="21">
        <f>E293+E296+E307+E315</f>
        <v>14494895.39</v>
      </c>
      <c r="F292" s="21">
        <f>F293+F296+F307+F315</f>
        <v>15246870</v>
      </c>
      <c r="G292" s="21">
        <f>G293+G296+G307+G315</f>
        <v>15330470</v>
      </c>
    </row>
    <row r="293" spans="1:7" ht="17.25">
      <c r="A293" s="11" t="s">
        <v>69</v>
      </c>
      <c r="B293" s="8" t="s">
        <v>70</v>
      </c>
      <c r="C293" s="8" t="s">
        <v>0</v>
      </c>
      <c r="D293" s="8" t="s">
        <v>0</v>
      </c>
      <c r="E293" s="21">
        <f aca="true" t="shared" si="6" ref="E293:G294">E294</f>
        <v>1166443.24</v>
      </c>
      <c r="F293" s="21">
        <f t="shared" si="6"/>
        <v>1253470</v>
      </c>
      <c r="G293" s="21">
        <f t="shared" si="6"/>
        <v>1253470</v>
      </c>
    </row>
    <row r="294" spans="1:7" ht="69">
      <c r="A294" s="11" t="s">
        <v>101</v>
      </c>
      <c r="B294" s="8" t="s">
        <v>70</v>
      </c>
      <c r="C294" s="8" t="s">
        <v>135</v>
      </c>
      <c r="D294" s="8" t="s">
        <v>0</v>
      </c>
      <c r="E294" s="21">
        <f t="shared" si="6"/>
        <v>1166443.24</v>
      </c>
      <c r="F294" s="21">
        <f t="shared" si="6"/>
        <v>1253470</v>
      </c>
      <c r="G294" s="21">
        <f t="shared" si="6"/>
        <v>1253470</v>
      </c>
    </row>
    <row r="295" spans="1:7" ht="36">
      <c r="A295" s="10" t="s">
        <v>32</v>
      </c>
      <c r="B295" s="9" t="s">
        <v>70</v>
      </c>
      <c r="C295" s="9" t="s">
        <v>135</v>
      </c>
      <c r="D295" s="9" t="s">
        <v>33</v>
      </c>
      <c r="E295" s="22">
        <f>1253470-25000-114.15-61912.61</f>
        <v>1166443.24</v>
      </c>
      <c r="F295" s="22">
        <f>1253470</f>
        <v>1253470</v>
      </c>
      <c r="G295" s="22">
        <f>1253470</f>
        <v>1253470</v>
      </c>
    </row>
    <row r="296" spans="1:7" ht="40.5" customHeight="1">
      <c r="A296" s="11" t="s">
        <v>71</v>
      </c>
      <c r="B296" s="8" t="s">
        <v>72</v>
      </c>
      <c r="C296" s="8" t="s">
        <v>0</v>
      </c>
      <c r="D296" s="8" t="s">
        <v>0</v>
      </c>
      <c r="E296" s="21">
        <f>E297+E300+E302</f>
        <v>6633172</v>
      </c>
      <c r="F296" s="21">
        <f>F297+F300+F302</f>
        <v>6906241</v>
      </c>
      <c r="G296" s="21">
        <f>G297+G300+G302</f>
        <v>6811341</v>
      </c>
    </row>
    <row r="297" spans="1:7" ht="138.75">
      <c r="A297" s="11" t="s">
        <v>178</v>
      </c>
      <c r="B297" s="8" t="s">
        <v>72</v>
      </c>
      <c r="C297" s="8" t="s">
        <v>134</v>
      </c>
      <c r="D297" s="8"/>
      <c r="E297" s="21">
        <f>SUM(E298:E299)</f>
        <v>64930</v>
      </c>
      <c r="F297" s="21">
        <f>SUM(F298:F299)</f>
        <v>0</v>
      </c>
      <c r="G297" s="21">
        <f>SUM(G298:G299)</f>
        <v>0</v>
      </c>
    </row>
    <row r="298" spans="1:7" ht="57" customHeight="1">
      <c r="A298" s="10" t="s">
        <v>9</v>
      </c>
      <c r="B298" s="9" t="s">
        <v>72</v>
      </c>
      <c r="C298" s="9" t="s">
        <v>134</v>
      </c>
      <c r="D298" s="9" t="s">
        <v>10</v>
      </c>
      <c r="E298" s="22">
        <f>49500+16000-570</f>
        <v>64930</v>
      </c>
      <c r="F298" s="22"/>
      <c r="G298" s="22"/>
    </row>
    <row r="299" spans="1:7" ht="18" hidden="1">
      <c r="A299" s="10" t="s">
        <v>12</v>
      </c>
      <c r="B299" s="9" t="s">
        <v>72</v>
      </c>
      <c r="C299" s="9" t="s">
        <v>98</v>
      </c>
      <c r="D299" s="9" t="s">
        <v>13</v>
      </c>
      <c r="E299" s="22"/>
      <c r="F299" s="22"/>
      <c r="G299" s="22"/>
    </row>
    <row r="300" spans="1:7" ht="51.75" hidden="1">
      <c r="A300" s="11" t="s">
        <v>187</v>
      </c>
      <c r="B300" s="8" t="s">
        <v>72</v>
      </c>
      <c r="C300" s="8" t="s">
        <v>144</v>
      </c>
      <c r="D300" s="8" t="s">
        <v>0</v>
      </c>
      <c r="E300" s="21">
        <f>SUM(E301:E301)</f>
        <v>0</v>
      </c>
      <c r="F300" s="21">
        <f>SUM(F301:F301)</f>
        <v>0</v>
      </c>
      <c r="G300" s="21">
        <f>SUM(G301:G301)</f>
        <v>0</v>
      </c>
    </row>
    <row r="301" spans="1:7" ht="36" hidden="1">
      <c r="A301" s="10" t="s">
        <v>32</v>
      </c>
      <c r="B301" s="9" t="s">
        <v>72</v>
      </c>
      <c r="C301" s="9" t="s">
        <v>144</v>
      </c>
      <c r="D301" s="9" t="s">
        <v>33</v>
      </c>
      <c r="E301" s="22"/>
      <c r="F301" s="22"/>
      <c r="G301" s="22"/>
    </row>
    <row r="302" spans="1:7" ht="72.75" customHeight="1">
      <c r="A302" s="11" t="s">
        <v>101</v>
      </c>
      <c r="B302" s="8" t="s">
        <v>72</v>
      </c>
      <c r="C302" s="8" t="s">
        <v>135</v>
      </c>
      <c r="D302" s="8" t="s">
        <v>0</v>
      </c>
      <c r="E302" s="21">
        <f>SUM(E303:E306)</f>
        <v>6568242</v>
      </c>
      <c r="F302" s="21">
        <f>SUM(F303:F306)</f>
        <v>6906241</v>
      </c>
      <c r="G302" s="21">
        <f>SUM(G303:G306)</f>
        <v>6811341</v>
      </c>
    </row>
    <row r="303" spans="1:7" ht="129.75" customHeight="1">
      <c r="A303" s="10" t="s">
        <v>5</v>
      </c>
      <c r="B303" s="9" t="s">
        <v>72</v>
      </c>
      <c r="C303" s="9" t="s">
        <v>135</v>
      </c>
      <c r="D303" s="9" t="s">
        <v>6</v>
      </c>
      <c r="E303" s="22">
        <f>87000+2592000+1007700-292000-64000</f>
        <v>3330700</v>
      </c>
      <c r="F303" s="22">
        <f>87000+2592000+919800</f>
        <v>3598800</v>
      </c>
      <c r="G303" s="22">
        <f>87000+2592000+886800</f>
        <v>3565800</v>
      </c>
    </row>
    <row r="304" spans="1:7" ht="54" hidden="1">
      <c r="A304" s="10" t="s">
        <v>9</v>
      </c>
      <c r="B304" s="9" t="s">
        <v>72</v>
      </c>
      <c r="C304" s="9" t="s">
        <v>135</v>
      </c>
      <c r="D304" s="9" t="s">
        <v>10</v>
      </c>
      <c r="E304" s="22"/>
      <c r="F304" s="22"/>
      <c r="G304" s="22"/>
    </row>
    <row r="305" spans="1:7" ht="48" customHeight="1">
      <c r="A305" s="10" t="s">
        <v>32</v>
      </c>
      <c r="B305" s="9" t="s">
        <v>72</v>
      </c>
      <c r="C305" s="9" t="s">
        <v>135</v>
      </c>
      <c r="D305" s="9" t="s">
        <v>33</v>
      </c>
      <c r="E305" s="22">
        <f>3720041+17501-500000</f>
        <v>3237542</v>
      </c>
      <c r="F305" s="22">
        <f>3307441</f>
        <v>3307441</v>
      </c>
      <c r="G305" s="22">
        <f>3245541</f>
        <v>3245541</v>
      </c>
    </row>
    <row r="306" spans="1:7" ht="72" hidden="1">
      <c r="A306" s="10" t="s">
        <v>26</v>
      </c>
      <c r="B306" s="9" t="s">
        <v>72</v>
      </c>
      <c r="C306" s="9" t="s">
        <v>135</v>
      </c>
      <c r="D306" s="9" t="s">
        <v>27</v>
      </c>
      <c r="E306" s="22"/>
      <c r="F306" s="22"/>
      <c r="G306" s="22"/>
    </row>
    <row r="307" spans="1:7" ht="17.25">
      <c r="A307" s="11" t="s">
        <v>73</v>
      </c>
      <c r="B307" s="8" t="s">
        <v>74</v>
      </c>
      <c r="C307" s="8" t="s">
        <v>0</v>
      </c>
      <c r="D307" s="8" t="s">
        <v>0</v>
      </c>
      <c r="E307" s="21">
        <f>E310+E308</f>
        <v>6309022.15</v>
      </c>
      <c r="F307" s="21">
        <f>F310+F308</f>
        <v>6683400</v>
      </c>
      <c r="G307" s="21">
        <f>G310+G308</f>
        <v>6861900</v>
      </c>
    </row>
    <row r="308" spans="1:7" ht="51.75">
      <c r="A308" s="11" t="s">
        <v>187</v>
      </c>
      <c r="B308" s="8" t="s">
        <v>74</v>
      </c>
      <c r="C308" s="8" t="s">
        <v>144</v>
      </c>
      <c r="D308" s="8"/>
      <c r="E308" s="21">
        <f>E309</f>
        <v>576000</v>
      </c>
      <c r="F308" s="21">
        <f>F309</f>
        <v>0</v>
      </c>
      <c r="G308" s="21">
        <f>G309</f>
        <v>0</v>
      </c>
    </row>
    <row r="309" spans="1:7" ht="36">
      <c r="A309" s="10" t="s">
        <v>32</v>
      </c>
      <c r="B309" s="8" t="s">
        <v>74</v>
      </c>
      <c r="C309" s="9" t="s">
        <v>144</v>
      </c>
      <c r="D309" s="9" t="s">
        <v>33</v>
      </c>
      <c r="E309" s="22">
        <f>190000+386000</f>
        <v>576000</v>
      </c>
      <c r="F309" s="21"/>
      <c r="G309" s="21"/>
    </row>
    <row r="310" spans="1:7" ht="75" customHeight="1">
      <c r="A310" s="11" t="s">
        <v>101</v>
      </c>
      <c r="B310" s="8" t="s">
        <v>74</v>
      </c>
      <c r="C310" s="8" t="s">
        <v>135</v>
      </c>
      <c r="D310" s="8" t="s">
        <v>0</v>
      </c>
      <c r="E310" s="21">
        <f>SUM(E311:E314)</f>
        <v>5733022.15</v>
      </c>
      <c r="F310" s="21">
        <f>SUM(F311:F314)</f>
        <v>6683400</v>
      </c>
      <c r="G310" s="21">
        <f>SUM(G311:G314)</f>
        <v>6861900</v>
      </c>
    </row>
    <row r="311" spans="1:7" ht="144" hidden="1">
      <c r="A311" s="10" t="s">
        <v>5</v>
      </c>
      <c r="B311" s="9" t="s">
        <v>74</v>
      </c>
      <c r="C311" s="9" t="s">
        <v>11</v>
      </c>
      <c r="D311" s="9" t="s">
        <v>6</v>
      </c>
      <c r="E311" s="21"/>
      <c r="F311" s="21"/>
      <c r="G311" s="21"/>
    </row>
    <row r="312" spans="1:7" ht="54" hidden="1">
      <c r="A312" s="10" t="s">
        <v>9</v>
      </c>
      <c r="B312" s="9" t="s">
        <v>74</v>
      </c>
      <c r="C312" s="9" t="s">
        <v>135</v>
      </c>
      <c r="D312" s="9" t="s">
        <v>10</v>
      </c>
      <c r="E312" s="22"/>
      <c r="F312" s="22"/>
      <c r="G312" s="22"/>
    </row>
    <row r="313" spans="1:7" ht="35.25" customHeight="1">
      <c r="A313" s="10" t="s">
        <v>32</v>
      </c>
      <c r="B313" s="9" t="s">
        <v>74</v>
      </c>
      <c r="C313" s="9" t="s">
        <v>135</v>
      </c>
      <c r="D313" s="9" t="s">
        <v>33</v>
      </c>
      <c r="E313" s="22">
        <f>244600+2960100+1354700+71022.15+185300+19900+151000+261000+469500-124600+140500</f>
        <v>5733022.15</v>
      </c>
      <c r="F313" s="22">
        <f>244600+4562900+1875900</f>
        <v>6683400</v>
      </c>
      <c r="G313" s="22">
        <f>244600+4562900+2054400</f>
        <v>6861900</v>
      </c>
    </row>
    <row r="314" spans="1:7" ht="72" hidden="1">
      <c r="A314" s="10" t="s">
        <v>26</v>
      </c>
      <c r="B314" s="9" t="s">
        <v>74</v>
      </c>
      <c r="C314" s="9" t="s">
        <v>135</v>
      </c>
      <c r="D314" s="9" t="s">
        <v>27</v>
      </c>
      <c r="E314" s="22"/>
      <c r="F314" s="22"/>
      <c r="G314" s="22"/>
    </row>
    <row r="315" spans="1:7" ht="34.5">
      <c r="A315" s="11" t="s">
        <v>165</v>
      </c>
      <c r="B315" s="8" t="s">
        <v>166</v>
      </c>
      <c r="C315" s="9"/>
      <c r="D315" s="9"/>
      <c r="E315" s="21">
        <f>E316</f>
        <v>386258</v>
      </c>
      <c r="F315" s="21">
        <f>F316</f>
        <v>403759</v>
      </c>
      <c r="G315" s="21">
        <f>G316</f>
        <v>403759</v>
      </c>
    </row>
    <row r="316" spans="1:7" ht="81" customHeight="1">
      <c r="A316" s="11" t="s">
        <v>101</v>
      </c>
      <c r="B316" s="8" t="s">
        <v>166</v>
      </c>
      <c r="C316" s="8" t="s">
        <v>149</v>
      </c>
      <c r="D316" s="8"/>
      <c r="E316" s="21">
        <f>SUM(E317:E318)</f>
        <v>386258</v>
      </c>
      <c r="F316" s="21">
        <f>SUM(F317:F318)</f>
        <v>403759</v>
      </c>
      <c r="G316" s="21">
        <f>SUM(G317:G318)</f>
        <v>403759</v>
      </c>
    </row>
    <row r="317" spans="1:7" ht="135.75" customHeight="1">
      <c r="A317" s="10" t="s">
        <v>5</v>
      </c>
      <c r="B317" s="9" t="s">
        <v>166</v>
      </c>
      <c r="C317" s="9" t="s">
        <v>149</v>
      </c>
      <c r="D317" s="9" t="s">
        <v>6</v>
      </c>
      <c r="E317" s="22">
        <f>403759-17501</f>
        <v>386258</v>
      </c>
      <c r="F317" s="22">
        <f>403759</f>
        <v>403759</v>
      </c>
      <c r="G317" s="22">
        <f>403759</f>
        <v>403759</v>
      </c>
    </row>
    <row r="318" spans="1:7" ht="54" hidden="1">
      <c r="A318" s="10" t="s">
        <v>9</v>
      </c>
      <c r="B318" s="9" t="s">
        <v>166</v>
      </c>
      <c r="C318" s="9" t="s">
        <v>149</v>
      </c>
      <c r="D318" s="9" t="s">
        <v>10</v>
      </c>
      <c r="E318" s="22"/>
      <c r="F318" s="22"/>
      <c r="G318" s="22"/>
    </row>
    <row r="319" spans="1:7" ht="34.5">
      <c r="A319" s="11" t="s">
        <v>75</v>
      </c>
      <c r="B319" s="8" t="s">
        <v>76</v>
      </c>
      <c r="C319" s="8" t="s">
        <v>0</v>
      </c>
      <c r="D319" s="8" t="s">
        <v>0</v>
      </c>
      <c r="E319" s="21">
        <f aca="true" t="shared" si="7" ref="E319:G320">E320</f>
        <v>241200</v>
      </c>
      <c r="F319" s="21">
        <f t="shared" si="7"/>
        <v>1200000</v>
      </c>
      <c r="G319" s="21">
        <f t="shared" si="7"/>
        <v>0</v>
      </c>
    </row>
    <row r="320" spans="1:7" ht="17.25">
      <c r="A320" s="11" t="s">
        <v>77</v>
      </c>
      <c r="B320" s="8" t="s">
        <v>78</v>
      </c>
      <c r="C320" s="8" t="s">
        <v>0</v>
      </c>
      <c r="D320" s="8" t="s">
        <v>0</v>
      </c>
      <c r="E320" s="21">
        <f t="shared" si="7"/>
        <v>241200</v>
      </c>
      <c r="F320" s="21">
        <f t="shared" si="7"/>
        <v>1200000</v>
      </c>
      <c r="G320" s="21">
        <f t="shared" si="7"/>
        <v>0</v>
      </c>
    </row>
    <row r="321" spans="1:7" ht="104.25">
      <c r="A321" s="11" t="s">
        <v>188</v>
      </c>
      <c r="B321" s="8" t="s">
        <v>78</v>
      </c>
      <c r="C321" s="8" t="s">
        <v>145</v>
      </c>
      <c r="D321" s="8" t="s">
        <v>0</v>
      </c>
      <c r="E321" s="21">
        <f>SUM(E322:E324)</f>
        <v>241200</v>
      </c>
      <c r="F321" s="21">
        <f>SUM(F322:F324)</f>
        <v>1200000</v>
      </c>
      <c r="G321" s="21">
        <f>SUM(G322:G324)</f>
        <v>0</v>
      </c>
    </row>
    <row r="322" spans="1:7" ht="144">
      <c r="A322" s="10" t="s">
        <v>5</v>
      </c>
      <c r="B322" s="9" t="s">
        <v>78</v>
      </c>
      <c r="C322" s="9" t="s">
        <v>145</v>
      </c>
      <c r="D322" s="9" t="s">
        <v>6</v>
      </c>
      <c r="E322" s="22">
        <f>83700+15000+600+28000</f>
        <v>127300</v>
      </c>
      <c r="F322" s="22"/>
      <c r="G322" s="22"/>
    </row>
    <row r="323" spans="1:7" ht="54">
      <c r="A323" s="10" t="s">
        <v>9</v>
      </c>
      <c r="B323" s="9" t="s">
        <v>78</v>
      </c>
      <c r="C323" s="9" t="s">
        <v>145</v>
      </c>
      <c r="D323" s="9" t="s">
        <v>10</v>
      </c>
      <c r="E323" s="22">
        <f>104500+10000-600</f>
        <v>113900</v>
      </c>
      <c r="F323" s="22"/>
      <c r="G323" s="22"/>
    </row>
    <row r="324" spans="1:7" ht="54">
      <c r="A324" s="10" t="s">
        <v>170</v>
      </c>
      <c r="B324" s="9" t="s">
        <v>78</v>
      </c>
      <c r="C324" s="9" t="s">
        <v>145</v>
      </c>
      <c r="D324" s="9" t="s">
        <v>31</v>
      </c>
      <c r="E324" s="22">
        <f>1200000-1200000</f>
        <v>0</v>
      </c>
      <c r="F324" s="22">
        <v>1200000</v>
      </c>
      <c r="G324" s="22"/>
    </row>
    <row r="325" spans="1:7" ht="18">
      <c r="A325" s="10"/>
      <c r="B325" s="9"/>
      <c r="C325" s="9"/>
      <c r="D325" s="9"/>
      <c r="E325" s="22"/>
      <c r="F325" s="22"/>
      <c r="G325" s="22"/>
    </row>
    <row r="326" spans="1:7" ht="33" customHeight="1">
      <c r="A326" s="11" t="s">
        <v>79</v>
      </c>
      <c r="B326" s="8" t="s">
        <v>80</v>
      </c>
      <c r="C326" s="8" t="s">
        <v>0</v>
      </c>
      <c r="D326" s="8" t="s">
        <v>0</v>
      </c>
      <c r="E326" s="21">
        <f>E327+E340+E335</f>
        <v>2409700</v>
      </c>
      <c r="F326" s="21">
        <f>F327+F340+F335</f>
        <v>1908100</v>
      </c>
      <c r="G326" s="21">
        <f>G327+G340+G335</f>
        <v>1908100</v>
      </c>
    </row>
    <row r="327" spans="1:7" ht="17.25" hidden="1">
      <c r="A327" s="11" t="s">
        <v>81</v>
      </c>
      <c r="B327" s="8" t="s">
        <v>82</v>
      </c>
      <c r="C327" s="8" t="s">
        <v>0</v>
      </c>
      <c r="D327" s="8" t="s">
        <v>0</v>
      </c>
      <c r="E327" s="21">
        <f>E328+E332</f>
        <v>0</v>
      </c>
      <c r="F327" s="21">
        <f>F328+F332</f>
        <v>0</v>
      </c>
      <c r="G327" s="21">
        <f>G328+G332</f>
        <v>0</v>
      </c>
    </row>
    <row r="328" spans="1:7" ht="121.5" hidden="1">
      <c r="A328" s="12" t="s">
        <v>116</v>
      </c>
      <c r="B328" s="8" t="s">
        <v>82</v>
      </c>
      <c r="C328" s="8" t="s">
        <v>51</v>
      </c>
      <c r="D328" s="8" t="s">
        <v>0</v>
      </c>
      <c r="E328" s="21">
        <f>SUM(E329:E331)</f>
        <v>0</v>
      </c>
      <c r="F328" s="21">
        <f>SUM(F329:F331)</f>
        <v>0</v>
      </c>
      <c r="G328" s="21">
        <f>SUM(G329:G331)</f>
        <v>0</v>
      </c>
    </row>
    <row r="329" spans="1:7" ht="144" hidden="1">
      <c r="A329" s="10" t="s">
        <v>5</v>
      </c>
      <c r="B329" s="9" t="s">
        <v>82</v>
      </c>
      <c r="C329" s="9" t="s">
        <v>51</v>
      </c>
      <c r="D329" s="9" t="s">
        <v>6</v>
      </c>
      <c r="E329" s="22"/>
      <c r="F329" s="22"/>
      <c r="G329" s="22"/>
    </row>
    <row r="330" spans="1:7" ht="54" hidden="1">
      <c r="A330" s="10" t="s">
        <v>9</v>
      </c>
      <c r="B330" s="9" t="s">
        <v>82</v>
      </c>
      <c r="C330" s="9" t="s">
        <v>51</v>
      </c>
      <c r="D330" s="9" t="s">
        <v>10</v>
      </c>
      <c r="E330" s="22"/>
      <c r="F330" s="22"/>
      <c r="G330" s="22"/>
    </row>
    <row r="331" spans="1:7" ht="18" hidden="1">
      <c r="A331" s="10" t="s">
        <v>12</v>
      </c>
      <c r="B331" s="9" t="s">
        <v>82</v>
      </c>
      <c r="C331" s="9" t="s">
        <v>51</v>
      </c>
      <c r="D331" s="9" t="s">
        <v>13</v>
      </c>
      <c r="E331" s="22"/>
      <c r="F331" s="22"/>
      <c r="G331" s="22"/>
    </row>
    <row r="332" spans="1:7" ht="69" customHeight="1" hidden="1">
      <c r="A332" s="11" t="s">
        <v>101</v>
      </c>
      <c r="B332" s="8" t="s">
        <v>82</v>
      </c>
      <c r="C332" s="8" t="s">
        <v>11</v>
      </c>
      <c r="D332" s="8" t="s">
        <v>0</v>
      </c>
      <c r="E332" s="21">
        <f>SUM(E333:E334)</f>
        <v>0</v>
      </c>
      <c r="F332" s="21">
        <f>SUM(F333:F334)</f>
        <v>0</v>
      </c>
      <c r="G332" s="21">
        <f>SUM(G333:G334)</f>
        <v>0</v>
      </c>
    </row>
    <row r="333" spans="1:7" ht="144" hidden="1">
      <c r="A333" s="10" t="s">
        <v>5</v>
      </c>
      <c r="B333" s="9" t="s">
        <v>82</v>
      </c>
      <c r="C333" s="9" t="s">
        <v>11</v>
      </c>
      <c r="D333" s="9" t="s">
        <v>6</v>
      </c>
      <c r="E333" s="21"/>
      <c r="F333" s="21"/>
      <c r="G333" s="22"/>
    </row>
    <row r="334" spans="1:7" ht="18" hidden="1">
      <c r="A334" s="10" t="s">
        <v>12</v>
      </c>
      <c r="B334" s="9" t="s">
        <v>82</v>
      </c>
      <c r="C334" s="9" t="s">
        <v>11</v>
      </c>
      <c r="D334" s="9" t="s">
        <v>13</v>
      </c>
      <c r="E334" s="22"/>
      <c r="F334" s="22"/>
      <c r="G334" s="22"/>
    </row>
    <row r="335" spans="1:7" ht="34.5">
      <c r="A335" s="11" t="s">
        <v>174</v>
      </c>
      <c r="B335" s="8" t="s">
        <v>172</v>
      </c>
      <c r="C335" s="9"/>
      <c r="D335" s="9"/>
      <c r="E335" s="21">
        <f>E336+E338</f>
        <v>1350700</v>
      </c>
      <c r="F335" s="21">
        <f>F336+F338</f>
        <v>1294100</v>
      </c>
      <c r="G335" s="21">
        <f>G336+G338</f>
        <v>1294100</v>
      </c>
    </row>
    <row r="336" spans="1:7" ht="121.5">
      <c r="A336" s="11" t="s">
        <v>189</v>
      </c>
      <c r="B336" s="8" t="s">
        <v>172</v>
      </c>
      <c r="C336" s="8" t="s">
        <v>173</v>
      </c>
      <c r="D336" s="9"/>
      <c r="E336" s="21">
        <f>E337</f>
        <v>1350700</v>
      </c>
      <c r="F336" s="21">
        <f>F337</f>
        <v>1294100</v>
      </c>
      <c r="G336" s="21">
        <f>G337</f>
        <v>1294100</v>
      </c>
    </row>
    <row r="337" spans="1:7" ht="29.25" customHeight="1">
      <c r="A337" s="10" t="s">
        <v>12</v>
      </c>
      <c r="B337" s="8" t="s">
        <v>172</v>
      </c>
      <c r="C337" s="9" t="s">
        <v>173</v>
      </c>
      <c r="D337" s="9" t="s">
        <v>13</v>
      </c>
      <c r="E337" s="22">
        <f>1294100+56600</f>
        <v>1350700</v>
      </c>
      <c r="F337" s="22">
        <f>1294100</f>
        <v>1294100</v>
      </c>
      <c r="G337" s="22">
        <f>1294100</f>
        <v>1294100</v>
      </c>
    </row>
    <row r="338" spans="1:7" ht="69" hidden="1">
      <c r="A338" s="11" t="s">
        <v>101</v>
      </c>
      <c r="B338" s="8" t="s">
        <v>172</v>
      </c>
      <c r="C338" s="8" t="s">
        <v>149</v>
      </c>
      <c r="D338" s="9"/>
      <c r="E338" s="21">
        <f>E339</f>
        <v>0</v>
      </c>
      <c r="F338" s="21">
        <f>F339</f>
        <v>0</v>
      </c>
      <c r="G338" s="21">
        <f>G339</f>
        <v>0</v>
      </c>
    </row>
    <row r="339" spans="1:7" ht="18" customHeight="1" hidden="1">
      <c r="A339" s="10" t="s">
        <v>12</v>
      </c>
      <c r="B339" s="8" t="s">
        <v>172</v>
      </c>
      <c r="C339" s="9" t="s">
        <v>149</v>
      </c>
      <c r="D339" s="9" t="s">
        <v>13</v>
      </c>
      <c r="E339" s="22"/>
      <c r="F339" s="22"/>
      <c r="G339" s="22"/>
    </row>
    <row r="340" spans="1:7" ht="34.5">
      <c r="A340" s="11" t="s">
        <v>83</v>
      </c>
      <c r="B340" s="8" t="s">
        <v>84</v>
      </c>
      <c r="C340" s="8" t="s">
        <v>0</v>
      </c>
      <c r="D340" s="8" t="s">
        <v>0</v>
      </c>
      <c r="E340" s="21">
        <f>E341+E344</f>
        <v>1059000</v>
      </c>
      <c r="F340" s="21">
        <f>F341+F344</f>
        <v>614000</v>
      </c>
      <c r="G340" s="21">
        <f>G341+G344</f>
        <v>614000</v>
      </c>
    </row>
    <row r="341" spans="1:7" ht="130.5" customHeight="1">
      <c r="A341" s="11" t="s">
        <v>189</v>
      </c>
      <c r="B341" s="8" t="s">
        <v>84</v>
      </c>
      <c r="C341" s="8" t="s">
        <v>146</v>
      </c>
      <c r="D341" s="8" t="s">
        <v>0</v>
      </c>
      <c r="E341" s="21">
        <f>SUM(E342:E343)</f>
        <v>1059000</v>
      </c>
      <c r="F341" s="21">
        <f>SUM(F342:F343)</f>
        <v>614000</v>
      </c>
      <c r="G341" s="21">
        <f>SUM(G342:G343)</f>
        <v>614000</v>
      </c>
    </row>
    <row r="342" spans="1:7" ht="57" customHeight="1" hidden="1">
      <c r="A342" s="10" t="s">
        <v>9</v>
      </c>
      <c r="B342" s="9" t="s">
        <v>84</v>
      </c>
      <c r="C342" s="9" t="s">
        <v>51</v>
      </c>
      <c r="D342" s="9" t="s">
        <v>10</v>
      </c>
      <c r="E342" s="22"/>
      <c r="F342" s="22"/>
      <c r="G342" s="22"/>
    </row>
    <row r="343" spans="1:7" ht="21" customHeight="1">
      <c r="A343" s="10" t="s">
        <v>12</v>
      </c>
      <c r="B343" s="9" t="s">
        <v>84</v>
      </c>
      <c r="C343" s="9" t="s">
        <v>146</v>
      </c>
      <c r="D343" s="9" t="s">
        <v>13</v>
      </c>
      <c r="E343" s="22">
        <f>614000+45000+400000</f>
        <v>1059000</v>
      </c>
      <c r="F343" s="22">
        <f>614000</f>
        <v>614000</v>
      </c>
      <c r="G343" s="22">
        <f>614000</f>
        <v>614000</v>
      </c>
    </row>
    <row r="344" spans="1:7" s="25" customFormat="1" ht="84.75" customHeight="1" hidden="1">
      <c r="A344" s="11" t="s">
        <v>101</v>
      </c>
      <c r="B344" s="8" t="s">
        <v>84</v>
      </c>
      <c r="C344" s="8" t="s">
        <v>149</v>
      </c>
      <c r="D344" s="8"/>
      <c r="E344" s="21">
        <f>E345</f>
        <v>0</v>
      </c>
      <c r="F344" s="21">
        <f>F345</f>
        <v>0</v>
      </c>
      <c r="G344" s="21">
        <f>G345</f>
        <v>0</v>
      </c>
    </row>
    <row r="345" spans="1:7" ht="21" customHeight="1" hidden="1">
      <c r="A345" s="10" t="s">
        <v>12</v>
      </c>
      <c r="B345" s="9" t="s">
        <v>84</v>
      </c>
      <c r="C345" s="9" t="s">
        <v>149</v>
      </c>
      <c r="D345" s="9" t="s">
        <v>13</v>
      </c>
      <c r="E345" s="22"/>
      <c r="F345" s="22"/>
      <c r="G345" s="22"/>
    </row>
    <row r="346" spans="1:7" ht="51.75" hidden="1">
      <c r="A346" s="11" t="s">
        <v>85</v>
      </c>
      <c r="B346" s="8" t="s">
        <v>86</v>
      </c>
      <c r="C346" s="8" t="s">
        <v>0</v>
      </c>
      <c r="D346" s="8" t="s">
        <v>0</v>
      </c>
      <c r="E346" s="21">
        <f>E347</f>
        <v>0</v>
      </c>
      <c r="F346" s="21">
        <f aca="true" t="shared" si="8" ref="F346:G348">F347</f>
        <v>0</v>
      </c>
      <c r="G346" s="21">
        <f t="shared" si="8"/>
        <v>0</v>
      </c>
    </row>
    <row r="347" spans="1:7" ht="51.75" hidden="1">
      <c r="A347" s="11" t="s">
        <v>87</v>
      </c>
      <c r="B347" s="8" t="s">
        <v>88</v>
      </c>
      <c r="C347" s="8" t="s">
        <v>0</v>
      </c>
      <c r="D347" s="8" t="s">
        <v>0</v>
      </c>
      <c r="E347" s="21">
        <f>E348</f>
        <v>0</v>
      </c>
      <c r="F347" s="21">
        <f t="shared" si="8"/>
        <v>0</v>
      </c>
      <c r="G347" s="21">
        <f t="shared" si="8"/>
        <v>0</v>
      </c>
    </row>
    <row r="348" spans="1:7" ht="69" hidden="1">
      <c r="A348" s="11" t="s">
        <v>101</v>
      </c>
      <c r="B348" s="8" t="s">
        <v>88</v>
      </c>
      <c r="C348" s="8" t="s">
        <v>135</v>
      </c>
      <c r="D348" s="8" t="s">
        <v>0</v>
      </c>
      <c r="E348" s="21">
        <f>E349</f>
        <v>0</v>
      </c>
      <c r="F348" s="21">
        <f t="shared" si="8"/>
        <v>0</v>
      </c>
      <c r="G348" s="21">
        <f t="shared" si="8"/>
        <v>0</v>
      </c>
    </row>
    <row r="349" spans="1:7" ht="57.75" customHeight="1" hidden="1">
      <c r="A349" s="10" t="s">
        <v>28</v>
      </c>
      <c r="B349" s="9" t="s">
        <v>88</v>
      </c>
      <c r="C349" s="9" t="s">
        <v>135</v>
      </c>
      <c r="D349" s="9" t="s">
        <v>29</v>
      </c>
      <c r="E349" s="22"/>
      <c r="F349" s="22"/>
      <c r="G349" s="22"/>
    </row>
    <row r="350" spans="1:7" ht="121.5">
      <c r="A350" s="11" t="s">
        <v>128</v>
      </c>
      <c r="B350" s="8" t="s">
        <v>129</v>
      </c>
      <c r="C350" s="9"/>
      <c r="D350" s="9"/>
      <c r="E350" s="21">
        <f aca="true" t="shared" si="9" ref="E350:G352">E351</f>
        <v>19205800</v>
      </c>
      <c r="F350" s="21">
        <f t="shared" si="9"/>
        <v>21505800</v>
      </c>
      <c r="G350" s="21">
        <f t="shared" si="9"/>
        <v>22105800</v>
      </c>
    </row>
    <row r="351" spans="1:7" ht="34.5">
      <c r="A351" s="23" t="s">
        <v>130</v>
      </c>
      <c r="B351" s="8" t="s">
        <v>131</v>
      </c>
      <c r="C351" s="9"/>
      <c r="D351" s="9"/>
      <c r="E351" s="21">
        <f t="shared" si="9"/>
        <v>19205800</v>
      </c>
      <c r="F351" s="21">
        <f t="shared" si="9"/>
        <v>21505800</v>
      </c>
      <c r="G351" s="21">
        <f t="shared" si="9"/>
        <v>22105800</v>
      </c>
    </row>
    <row r="352" spans="1:7" ht="69">
      <c r="A352" s="11" t="s">
        <v>101</v>
      </c>
      <c r="B352" s="8" t="s">
        <v>131</v>
      </c>
      <c r="C352" s="8" t="s">
        <v>135</v>
      </c>
      <c r="D352" s="9"/>
      <c r="E352" s="21">
        <f t="shared" si="9"/>
        <v>19205800</v>
      </c>
      <c r="F352" s="21">
        <f t="shared" si="9"/>
        <v>21505800</v>
      </c>
      <c r="G352" s="21">
        <f t="shared" si="9"/>
        <v>22105800</v>
      </c>
    </row>
    <row r="353" spans="1:7" ht="18">
      <c r="A353" s="10" t="s">
        <v>24</v>
      </c>
      <c r="B353" s="9" t="s">
        <v>131</v>
      </c>
      <c r="C353" s="9" t="s">
        <v>135</v>
      </c>
      <c r="D353" s="9" t="s">
        <v>25</v>
      </c>
      <c r="E353" s="22">
        <f>1300000+8000000+8076000+2729800-900000</f>
        <v>19205800</v>
      </c>
      <c r="F353" s="22">
        <f>1300000+8000000+9776000+2729800-300000</f>
        <v>21505800</v>
      </c>
      <c r="G353" s="22">
        <f>1300000+8000000+10076000+2729800</f>
        <v>22105800</v>
      </c>
    </row>
    <row r="354" spans="1:7" ht="17.25">
      <c r="A354" s="13" t="s">
        <v>97</v>
      </c>
      <c r="B354" s="14"/>
      <c r="C354" s="14"/>
      <c r="D354" s="14"/>
      <c r="E354" s="24">
        <f>E9+E100+E122+E140+E269+E292+E319+E326+E346+E91+E350</f>
        <v>411507273.55999994</v>
      </c>
      <c r="F354" s="24">
        <f>F9+F100+F122+F140+F269+F292+F319+F326+F346+F91+F350</f>
        <v>327475283.96000004</v>
      </c>
      <c r="G354" s="24">
        <f>G9+G100+G122+G140+G269+G292+G319+G326+G346+G91+G350</f>
        <v>324131557.07</v>
      </c>
    </row>
    <row r="356" spans="5:7" ht="12.75">
      <c r="E356" s="18"/>
      <c r="F356" s="18"/>
      <c r="G356" s="18"/>
    </row>
    <row r="358" spans="5:7" ht="12.75">
      <c r="E358" s="18"/>
      <c r="F358" s="20"/>
      <c r="G358" s="20"/>
    </row>
  </sheetData>
  <sheetProtection/>
  <mergeCells count="3">
    <mergeCell ref="A3:G3"/>
    <mergeCell ref="F1:G1"/>
    <mergeCell ref="C2:G2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2021-11-16T08:30:24Z</cp:lastPrinted>
  <dcterms:created xsi:type="dcterms:W3CDTF">2002-03-11T10:22:12Z</dcterms:created>
  <dcterms:modified xsi:type="dcterms:W3CDTF">2022-12-20T18:16:15Z</dcterms:modified>
  <cp:category/>
  <cp:version/>
  <cp:contentType/>
  <cp:contentStatus/>
</cp:coreProperties>
</file>