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420" windowWidth="15456" windowHeight="10200" activeTab="0"/>
  </bookViews>
  <sheets>
    <sheet name="2021-2023" sheetId="1" r:id="rId1"/>
  </sheets>
  <definedNames/>
  <calcPr fullCalcOnLoad="1"/>
</workbook>
</file>

<file path=xl/sharedStrings.xml><?xml version="1.0" encoding="utf-8"?>
<sst xmlns="http://schemas.openxmlformats.org/spreadsheetml/2006/main" count="1295" uniqueCount="210">
  <si>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</si>
  <si>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</si>
  <si>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</si>
  <si>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</si>
  <si>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</si>
  <si>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</si>
  <si>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</si>
  <si>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</si>
  <si>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</si>
  <si>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</si>
  <si>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</si>
  <si>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</si>
  <si>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</si>
  <si>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</si>
  <si>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</si>
  <si>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</si>
  <si>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</si>
  <si>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</si>
  <si>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</si>
  <si>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</si>
  <si>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</si>
  <si>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</si>
  <si>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</si>
  <si>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</si>
  <si>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</si>
  <si>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</si>
  <si>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</si>
  <si>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</si>
  <si>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</si>
  <si>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</si>
  <si>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</si>
  <si>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</si>
  <si>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</si>
  <si>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</si>
  <si>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</si>
  <si>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</si>
  <si>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</si>
  <si>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</si>
  <si>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</si>
  <si>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</si>
  <si>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</si>
  <si>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</si>
  <si>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</si>
  <si>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</si>
  <si>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</si>
  <si>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</si>
  <si>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</si>
  <si>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</si>
  <si>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</si>
  <si>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</si>
  <si>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</si>
  <si>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</si>
  <si>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</si>
  <si>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</si>
  <si>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</si>
  <si>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</si>
  <si>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</si>
  <si>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</si>
  <si>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</si>
  <si>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</si>
  <si>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</si>
  <si>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</si>
  <si>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</si>
  <si>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</si>
  <si>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</si>
  <si>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</si>
  <si>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</si>
  <si>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</si>
  <si>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</si>
  <si>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</si>
  <si>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</si>
  <si>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</si>
  <si>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</si>
  <si>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</si>
  <si>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</si>
  <si>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</si>
  <si>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</si>
  <si>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</si>
  <si>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</si>
  <si>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</si>
  <si>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</si>
  <si>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</si>
  <si>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</si>
  <si>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</si>
  <si>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</si>
  <si>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</si>
  <si>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</si>
  <si>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</si>
  <si>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</si>
  <si>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</si>
  <si>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</si>
  <si>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</si>
  <si>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</si>
  <si>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</si>
  <si>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</si>
  <si>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</si>
  <si>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</si>
  <si>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</si>
  <si>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</si>
  <si>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</si>
  <si>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02 0 0000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</si>
  <si>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</si>
  <si>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</si>
  <si>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</si>
  <si>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Непрограммные расходы органов муниципальной власти Киквидзенского муниципального района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</si>
  <si>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</si>
  <si>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</si>
  <si>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</si>
  <si>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</si>
  <si>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</si>
  <si>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</si>
  <si>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</si>
  <si>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</si>
  <si>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</si>
  <si>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</si>
  <si>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</si>
  <si>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</si>
  <si>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</si>
  <si>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</si>
  <si>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6</t>
  </si>
  <si>
    <t>рублей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</si>
  <si>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</si>
  <si>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</si>
  <si>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0300</t>
  </si>
  <si>
    <t>0314</t>
  </si>
  <si>
    <t>7</t>
  </si>
  <si>
    <t>0503</t>
  </si>
  <si>
    <t>Благоустройство</t>
  </si>
  <si>
    <t>0705</t>
  </si>
  <si>
    <t>Профессиональная подготовка, переподготовка и повышение квалификации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</si>
  <si>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</si>
  <si>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</si>
  <si>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</si>
  <si>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</si>
  <si>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Целевая статья (государственная программа и непрограммное направление деятельности)</t>
  </si>
  <si>
    <t xml:space="preserve">90 0 </t>
  </si>
  <si>
    <t xml:space="preserve">02 0 </t>
  </si>
  <si>
    <t xml:space="preserve">99 0 </t>
  </si>
  <si>
    <t xml:space="preserve">03 0 </t>
  </si>
  <si>
    <t xml:space="preserve">04 0 </t>
  </si>
  <si>
    <t xml:space="preserve">16 0 </t>
  </si>
  <si>
    <t xml:space="preserve">06 0 </t>
  </si>
  <si>
    <t xml:space="preserve">01 0 </t>
  </si>
  <si>
    <t xml:space="preserve">08 0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</si>
  <si>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</si>
  <si>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</si>
  <si>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</si>
  <si>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</si>
  <si>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</si>
  <si>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>Судебная система</t>
  </si>
  <si>
    <t>0105</t>
  </si>
  <si>
    <t>99 0</t>
  </si>
  <si>
    <t>25 0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</si>
  <si>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</si>
  <si>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</si>
  <si>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23 0</t>
  </si>
  <si>
    <t>06 0</t>
  </si>
  <si>
    <t>06 2</t>
  </si>
  <si>
    <t xml:space="preserve">06 2 </t>
  </si>
  <si>
    <t>Муниципальная программа  "Поддержка и развитие культуры в Киквидзенском муниципальном районе" на 2017-2020 годы</t>
  </si>
  <si>
    <t>08 0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</si>
  <si>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</si>
  <si>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</si>
  <si>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>Другие вопросы в области культуры, кинематографии</t>
  </si>
  <si>
    <t>0804</t>
  </si>
  <si>
    <t>09 0</t>
  </si>
  <si>
    <t>Другие вопросы в области социальной политики</t>
  </si>
  <si>
    <t>1006</t>
  </si>
  <si>
    <t>0703</t>
  </si>
  <si>
    <t>Дополнительное образование детей</t>
  </si>
  <si>
    <t xml:space="preserve"> 2021 год</t>
  </si>
  <si>
    <t>90 0</t>
  </si>
  <si>
    <t xml:space="preserve"> 2022 год</t>
  </si>
  <si>
    <t>1202</t>
  </si>
  <si>
    <t>05 0</t>
  </si>
  <si>
    <t>Периодическая печать и издательства</t>
  </si>
  <si>
    <t>Распределение бюджетных ассигнований по разделам, подразделам, целевым статьям и видам расходов классификации расходов  бюджета Киквидзенского муниципального района на 2021 год и плановый период 2022-2023 годов</t>
  </si>
  <si>
    <t xml:space="preserve"> 2023 год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</si>
  <si>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</si>
  <si>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</si>
  <si>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</si>
  <si>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</si>
  <si>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</si>
  <si>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</si>
  <si>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</si>
  <si>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</si>
  <si>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 «Развитие образования в Киквидзенском муниципальном районе» на 2021-2025 годы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</si>
  <si>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</si>
  <si>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</si>
  <si>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Молодой семье – доступное жилье» на 2021- 2025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</si>
  <si>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</si>
  <si>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</si>
  <si>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 xml:space="preserve">06 1 </t>
  </si>
  <si>
    <t>06 1</t>
  </si>
  <si>
    <t>Подпрограмма "Обеспечение функционирования муниципальной системы образования"</t>
  </si>
  <si>
    <t>Подпрограмма "Развитие дошкольного, общего и дополнительного образования"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</si>
  <si>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</si>
  <si>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 xml:space="preserve">14 0 </t>
  </si>
  <si>
    <t>17 0</t>
  </si>
  <si>
    <t>02 0</t>
  </si>
  <si>
    <t xml:space="preserve">06  </t>
  </si>
  <si>
    <t>Подпрограмма "Обеспечение персонифицированного финансирования дополнительного образования детей"</t>
  </si>
  <si>
    <t>06 3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</si>
  <si>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</si>
  <si>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</si>
  <si>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21 0</t>
  </si>
  <si>
    <t xml:space="preserve">Муниципальная программа «Комплексное развитие сельских территорий» </t>
  </si>
  <si>
    <t>Приложение № 5                             к Решению Киквидзенской районной Думы                                      от 15.12.2020 года № 96/18             (в редакции решения № 122/20 от  25.02.2021 года, № 131/22 от 08.04.2021 года</t>
  </si>
  <si>
    <t xml:space="preserve">Капитальные вложения в объекты государственной (муниципальной) собственности
</t>
  </si>
  <si>
    <t>№ 136/23 от 17.06.2021 года, № 145/24 от 01.07.2021 года, № 146/25 от 22.07.2021 года, № 158/26 от 23.08.2021 года, № 173/28 от 21.10.2021 года, № 176/29 от 12.11.2021 года, № 179/30 от 07.12.2021 года, № 196/32 от 27.12.2021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</si>
</sst>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9" fontId="6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49" fontId="4" fillId="32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7"/>
  <sheetViews>
    <sheetView tabSelected="1" zoomScalePageLayoutView="0" workbookViewId="0" topLeftCell="A160">
      <selection activeCell="E162" sqref="E162"/>
    </sheetView>
  </sheetViews>
  <sheetFormatPr defaultColWidth="9.140625" defaultRowHeight="12.75"/>
  <cols>
    <col min="1" max="1" width="41.28125" style="0" customWidth="1"/>
    <col min="2" max="2" width="14.28125" style="0" customWidth="1"/>
    <col min="3" max="3" width="20.28125" style="0" customWidth="1"/>
    <col min="4" max="4" width="13.28125" style="0" customWidth="1"/>
    <col min="5" max="5" width="18.8515625" style="0" customWidth="1"/>
    <col min="6" max="6" width="19.140625" style="0" customWidth="1"/>
    <col min="7" max="7" width="19.8515625" style="0" customWidth="1"/>
    <col min="10" max="10" width="12.7109375" style="0" bestFit="1" customWidth="1"/>
  </cols>
  <sheetData>
    <row r="1" spans="1:7" ht="132.75" customHeight="1">
      <c r="A1" s="4"/>
      <c r="B1" s="5"/>
      <c r="C1" s="16"/>
      <c r="D1" s="16"/>
      <c r="E1" s="16"/>
      <c r="F1" s="30" t="s">
        <v>207</v>
      </c>
      <c r="G1" s="30"/>
    </row>
    <row r="2" spans="1:7" ht="60.75" customHeight="1">
      <c r="A2" s="4"/>
      <c r="B2" s="5"/>
      <c r="C2" s="30" t="s">
        <v>209</v>
      </c>
      <c r="D2" s="31"/>
      <c r="E2" s="31"/>
      <c r="F2" s="31"/>
      <c r="G2" s="31"/>
    </row>
    <row r="3" spans="1:7" ht="63.75" customHeight="1">
      <c r="A3" s="29" t="s">
        <v>176</v>
      </c>
      <c r="B3" s="29"/>
      <c r="C3" s="29"/>
      <c r="D3" s="29"/>
      <c r="E3" s="29"/>
      <c r="F3" s="29"/>
      <c r="G3" s="29"/>
    </row>
    <row r="4" spans="1:5" ht="17.25">
      <c r="A4" s="6"/>
      <c r="B4" s="6"/>
      <c r="C4" s="6"/>
      <c r="D4" s="6"/>
      <c r="E4" s="6"/>
    </row>
    <row r="5" spans="1:7" ht="18">
      <c r="A5" s="6"/>
      <c r="B5" s="6"/>
      <c r="C5" s="6"/>
      <c r="D5" s="5"/>
      <c r="E5" s="15"/>
      <c r="G5" s="15" t="s">
        <v>120</v>
      </c>
    </row>
    <row r="6" spans="1:10" ht="104.25">
      <c r="A6" s="2" t="s">
        <v>91</v>
      </c>
      <c r="B6" s="1" t="s">
        <v>98</v>
      </c>
      <c r="C6" s="1" t="s">
        <v>134</v>
      </c>
      <c r="D6" s="1" t="s">
        <v>96</v>
      </c>
      <c r="E6" s="3" t="s">
        <v>170</v>
      </c>
      <c r="F6" s="3" t="s">
        <v>172</v>
      </c>
      <c r="G6" s="3" t="s">
        <v>177</v>
      </c>
      <c r="J6" s="20"/>
    </row>
    <row r="7" spans="1:7" ht="17.25">
      <c r="A7" s="2" t="s">
        <v>92</v>
      </c>
      <c r="B7" s="1" t="s">
        <v>93</v>
      </c>
      <c r="C7" s="1" t="s">
        <v>94</v>
      </c>
      <c r="D7" s="1" t="s">
        <v>95</v>
      </c>
      <c r="E7" s="2" t="s">
        <v>97</v>
      </c>
      <c r="F7" s="2" t="s">
        <v>119</v>
      </c>
      <c r="G7" s="2" t="s">
        <v>125</v>
      </c>
    </row>
    <row r="8" spans="1:7" ht="17.25">
      <c r="A8" s="7"/>
      <c r="B8" s="7"/>
      <c r="C8" s="7"/>
      <c r="D8" s="7"/>
      <c r="E8" s="7"/>
      <c r="F8" s="7"/>
      <c r="G8" s="7"/>
    </row>
    <row r="9" spans="1:7" ht="40.5" customHeight="1">
      <c r="A9" s="11" t="s">
        <v>1</v>
      </c>
      <c r="B9" s="8" t="s">
        <v>2</v>
      </c>
      <c r="C9" s="8" t="s">
        <v>0</v>
      </c>
      <c r="D9" s="8" t="s">
        <v>0</v>
      </c>
      <c r="E9" s="21">
        <f>E10+E13+E24+E45+E58+E62+E65+E42</f>
        <v>52682187.18</v>
      </c>
      <c r="F9" s="21">
        <f>F10+F13+F24+F45+F58+F62+F65+F42</f>
        <v>56429567</v>
      </c>
      <c r="G9" s="21">
        <f>G10+G13+G24+G45+G58+G62+G65+G42</f>
        <v>58915629</v>
      </c>
    </row>
    <row r="10" spans="1:7" ht="69">
      <c r="A10" s="11" t="s">
        <v>3</v>
      </c>
      <c r="B10" s="8" t="s">
        <v>4</v>
      </c>
      <c r="C10" s="8" t="s">
        <v>0</v>
      </c>
      <c r="D10" s="8" t="s">
        <v>0</v>
      </c>
      <c r="E10" s="21">
        <f aca="true" t="shared" si="0" ref="E10:G11">E11</f>
        <v>1436498</v>
      </c>
      <c r="F10" s="21">
        <f t="shared" si="0"/>
        <v>1356600</v>
      </c>
      <c r="G10" s="21">
        <f t="shared" si="0"/>
        <v>1356600</v>
      </c>
    </row>
    <row r="11" spans="1:7" ht="99.75" customHeight="1">
      <c r="A11" s="11" t="s">
        <v>102</v>
      </c>
      <c r="B11" s="8" t="s">
        <v>4</v>
      </c>
      <c r="C11" s="8" t="s">
        <v>135</v>
      </c>
      <c r="D11" s="8" t="s">
        <v>0</v>
      </c>
      <c r="E11" s="21">
        <f t="shared" si="0"/>
        <v>1436498</v>
      </c>
      <c r="F11" s="21">
        <f t="shared" si="0"/>
        <v>1356600</v>
      </c>
      <c r="G11" s="21">
        <f t="shared" si="0"/>
        <v>1356600</v>
      </c>
    </row>
    <row r="12" spans="1:7" ht="154.5" customHeight="1">
      <c r="A12" s="10" t="s">
        <v>6</v>
      </c>
      <c r="B12" s="9" t="s">
        <v>4</v>
      </c>
      <c r="C12" s="9" t="s">
        <v>135</v>
      </c>
      <c r="D12" s="9" t="s">
        <v>7</v>
      </c>
      <c r="E12" s="22">
        <f>1408098+28400</f>
        <v>1436498</v>
      </c>
      <c r="F12" s="22">
        <f>1356600</f>
        <v>1356600</v>
      </c>
      <c r="G12" s="22">
        <f>1356600</f>
        <v>1356600</v>
      </c>
    </row>
    <row r="13" spans="1:7" ht="114" customHeight="1">
      <c r="A13" s="11" t="s">
        <v>8</v>
      </c>
      <c r="B13" s="8" t="s">
        <v>9</v>
      </c>
      <c r="C13" s="8" t="s">
        <v>0</v>
      </c>
      <c r="D13" s="8" t="s">
        <v>0</v>
      </c>
      <c r="E13" s="21">
        <f>E14+E22+E18</f>
        <v>699700</v>
      </c>
      <c r="F13" s="21">
        <f>F14+F22+F18</f>
        <v>669656</v>
      </c>
      <c r="G13" s="21">
        <f>G14+G22+G18</f>
        <v>626518</v>
      </c>
    </row>
    <row r="14" spans="1:7" ht="117" customHeight="1">
      <c r="A14" s="11" t="s">
        <v>178</v>
      </c>
      <c r="B14" s="8" t="s">
        <v>9</v>
      </c>
      <c r="C14" s="8" t="s">
        <v>198</v>
      </c>
      <c r="D14" s="8" t="s">
        <v>0</v>
      </c>
      <c r="E14" s="21">
        <f>SUM(E15:E17)</f>
        <v>699700</v>
      </c>
      <c r="F14" s="21">
        <f>SUM(F15:F17)</f>
        <v>669656</v>
      </c>
      <c r="G14" s="21">
        <f>SUM(G15:G17)</f>
        <v>626518</v>
      </c>
    </row>
    <row r="15" spans="1:7" ht="128.25" customHeight="1">
      <c r="A15" s="10" t="s">
        <v>6</v>
      </c>
      <c r="B15" s="9" t="s">
        <v>9</v>
      </c>
      <c r="C15" s="9" t="s">
        <v>198</v>
      </c>
      <c r="D15" s="9" t="s">
        <v>7</v>
      </c>
      <c r="E15" s="22">
        <f>649384+13760+26306+10000</f>
        <v>699450</v>
      </c>
      <c r="F15" s="22">
        <f>669406</f>
        <v>669406</v>
      </c>
      <c r="G15" s="22">
        <f>626268</f>
        <v>626268</v>
      </c>
    </row>
    <row r="16" spans="1:7" ht="60" customHeight="1">
      <c r="A16" s="10" t="s">
        <v>10</v>
      </c>
      <c r="B16" s="9" t="s">
        <v>9</v>
      </c>
      <c r="C16" s="9" t="s">
        <v>198</v>
      </c>
      <c r="D16" s="9" t="s">
        <v>11</v>
      </c>
      <c r="E16" s="22">
        <f>250</f>
        <v>250</v>
      </c>
      <c r="F16" s="22">
        <f>250</f>
        <v>250</v>
      </c>
      <c r="G16" s="22">
        <f>250</f>
        <v>250</v>
      </c>
    </row>
    <row r="17" spans="1:7" ht="82.5" customHeight="1" hidden="1">
      <c r="A17" s="10" t="s">
        <v>10</v>
      </c>
      <c r="B17" s="9" t="s">
        <v>9</v>
      </c>
      <c r="C17" s="9" t="s">
        <v>152</v>
      </c>
      <c r="D17" s="9" t="s">
        <v>14</v>
      </c>
      <c r="E17" s="22"/>
      <c r="F17" s="22"/>
      <c r="G17" s="22"/>
    </row>
    <row r="18" spans="1:7" ht="99" customHeight="1" hidden="1">
      <c r="A18" s="11" t="s">
        <v>102</v>
      </c>
      <c r="B18" s="8" t="s">
        <v>9</v>
      </c>
      <c r="C18" s="8" t="s">
        <v>171</v>
      </c>
      <c r="D18" s="8"/>
      <c r="E18" s="21">
        <f>E19+E20+E21</f>
        <v>0</v>
      </c>
      <c r="F18" s="21">
        <f>F19+F20+F21</f>
        <v>0</v>
      </c>
      <c r="G18" s="21">
        <f>G19+G20+G21</f>
        <v>0</v>
      </c>
    </row>
    <row r="19" spans="1:7" ht="95.25" customHeight="1" hidden="1">
      <c r="A19" s="10" t="s">
        <v>6</v>
      </c>
      <c r="B19" s="9" t="s">
        <v>9</v>
      </c>
      <c r="C19" s="9" t="s">
        <v>171</v>
      </c>
      <c r="D19" s="9" t="s">
        <v>7</v>
      </c>
      <c r="E19" s="21"/>
      <c r="F19" s="22"/>
      <c r="G19" s="22"/>
    </row>
    <row r="20" spans="1:7" ht="60" customHeight="1" hidden="1">
      <c r="A20" s="10" t="s">
        <v>10</v>
      </c>
      <c r="B20" s="9" t="s">
        <v>9</v>
      </c>
      <c r="C20" s="9" t="s">
        <v>171</v>
      </c>
      <c r="D20" s="9" t="s">
        <v>11</v>
      </c>
      <c r="E20" s="21"/>
      <c r="F20" s="21"/>
      <c r="G20" s="22"/>
    </row>
    <row r="21" spans="1:7" ht="55.5" customHeight="1" hidden="1">
      <c r="A21" s="10" t="s">
        <v>10</v>
      </c>
      <c r="B21" s="9" t="s">
        <v>9</v>
      </c>
      <c r="C21" s="9" t="s">
        <v>171</v>
      </c>
      <c r="D21" s="9" t="s">
        <v>14</v>
      </c>
      <c r="E21" s="22"/>
      <c r="F21" s="22"/>
      <c r="G21" s="22"/>
    </row>
    <row r="22" spans="1:7" ht="69" hidden="1">
      <c r="A22" s="11" t="s">
        <v>104</v>
      </c>
      <c r="B22" s="8" t="s">
        <v>9</v>
      </c>
      <c r="C22" s="8" t="s">
        <v>12</v>
      </c>
      <c r="D22" s="8" t="s">
        <v>0</v>
      </c>
      <c r="E22" s="21">
        <f>E23</f>
        <v>0</v>
      </c>
      <c r="F22" s="21">
        <f>F23</f>
        <v>0</v>
      </c>
      <c r="G22" s="21">
        <f>G23</f>
        <v>0</v>
      </c>
    </row>
    <row r="23" spans="1:7" ht="61.5" customHeight="1" hidden="1">
      <c r="A23" s="10" t="s">
        <v>13</v>
      </c>
      <c r="B23" s="9" t="s">
        <v>9</v>
      </c>
      <c r="C23" s="9" t="s">
        <v>12</v>
      </c>
      <c r="D23" s="9" t="s">
        <v>14</v>
      </c>
      <c r="E23" s="22"/>
      <c r="F23" s="22"/>
      <c r="G23" s="22"/>
    </row>
    <row r="24" spans="1:7" ht="138.75">
      <c r="A24" s="11" t="s">
        <v>15</v>
      </c>
      <c r="B24" s="8" t="s">
        <v>16</v>
      </c>
      <c r="C24" s="8" t="s">
        <v>0</v>
      </c>
      <c r="D24" s="8" t="s">
        <v>0</v>
      </c>
      <c r="E24" s="21">
        <f>E27+E37+E33+E25+E31</f>
        <v>18961885.27</v>
      </c>
      <c r="F24" s="21">
        <f>F27+F37+F33+F25+F31</f>
        <v>18329934</v>
      </c>
      <c r="G24" s="21">
        <f>G27+G37+G33+G25+G31</f>
        <v>18341134</v>
      </c>
    </row>
    <row r="25" spans="1:7" ht="116.25" customHeight="1">
      <c r="A25" s="11" t="s">
        <v>179</v>
      </c>
      <c r="B25" s="8" t="s">
        <v>16</v>
      </c>
      <c r="C25" s="8" t="s">
        <v>142</v>
      </c>
      <c r="D25" s="8"/>
      <c r="E25" s="21">
        <f>E26</f>
        <v>10000</v>
      </c>
      <c r="F25" s="21">
        <f>F26</f>
        <v>0</v>
      </c>
      <c r="G25" s="21">
        <f>G26</f>
        <v>0</v>
      </c>
    </row>
    <row r="26" spans="1:7" ht="54">
      <c r="A26" s="10" t="s">
        <v>10</v>
      </c>
      <c r="B26" s="9" t="s">
        <v>16</v>
      </c>
      <c r="C26" s="9" t="s">
        <v>142</v>
      </c>
      <c r="D26" s="9" t="s">
        <v>11</v>
      </c>
      <c r="E26" s="22">
        <f>10000</f>
        <v>10000</v>
      </c>
      <c r="F26" s="22"/>
      <c r="G26" s="22"/>
    </row>
    <row r="27" spans="1:7" ht="147" customHeight="1">
      <c r="A27" s="11" t="s">
        <v>180</v>
      </c>
      <c r="B27" s="8" t="s">
        <v>16</v>
      </c>
      <c r="C27" s="8" t="s">
        <v>136</v>
      </c>
      <c r="D27" s="8" t="s">
        <v>0</v>
      </c>
      <c r="E27" s="21">
        <f>E28+E29+E30</f>
        <v>17229050.189999998</v>
      </c>
      <c r="F27" s="21">
        <f>F28+F29+F30</f>
        <v>16881634</v>
      </c>
      <c r="G27" s="21">
        <f>G28+G29+G30</f>
        <v>16881634</v>
      </c>
    </row>
    <row r="28" spans="1:7" ht="126" customHeight="1">
      <c r="A28" s="10" t="s">
        <v>6</v>
      </c>
      <c r="B28" s="9" t="s">
        <v>16</v>
      </c>
      <c r="C28" s="9" t="s">
        <v>136</v>
      </c>
      <c r="D28" s="9" t="s">
        <v>7</v>
      </c>
      <c r="E28" s="22">
        <f>16587205-2000-281000-142000-10626.81-13760-70844-10000</f>
        <v>16056974.19</v>
      </c>
      <c r="F28" s="22">
        <f>16284163</f>
        <v>16284163</v>
      </c>
      <c r="G28" s="22">
        <f>16284163</f>
        <v>16284163</v>
      </c>
    </row>
    <row r="29" spans="1:7" ht="59.25" customHeight="1">
      <c r="A29" s="10" t="s">
        <v>10</v>
      </c>
      <c r="B29" s="9" t="s">
        <v>16</v>
      </c>
      <c r="C29" s="9" t="s">
        <v>136</v>
      </c>
      <c r="D29" s="9" t="s">
        <v>11</v>
      </c>
      <c r="E29" s="22">
        <f>1304412-132336</f>
        <v>1172076</v>
      </c>
      <c r="F29" s="22">
        <f>597471</f>
        <v>597471</v>
      </c>
      <c r="G29" s="22">
        <f>597471</f>
        <v>597471</v>
      </c>
    </row>
    <row r="30" spans="1:7" ht="32.25" customHeight="1" hidden="1">
      <c r="A30" s="10" t="s">
        <v>13</v>
      </c>
      <c r="B30" s="9" t="s">
        <v>16</v>
      </c>
      <c r="C30" s="9" t="s">
        <v>136</v>
      </c>
      <c r="D30" s="9" t="s">
        <v>14</v>
      </c>
      <c r="E30" s="22"/>
      <c r="F30" s="22"/>
      <c r="G30" s="22"/>
    </row>
    <row r="31" spans="1:7" ht="138.75" hidden="1">
      <c r="A31" s="11" t="s">
        <v>153</v>
      </c>
      <c r="B31" s="8" t="s">
        <v>16</v>
      </c>
      <c r="C31" s="8" t="s">
        <v>154</v>
      </c>
      <c r="D31" s="8"/>
      <c r="E31" s="21">
        <f>E32</f>
        <v>0</v>
      </c>
      <c r="F31" s="21">
        <f>F32</f>
        <v>0</v>
      </c>
      <c r="G31" s="21">
        <f>G32</f>
        <v>0</v>
      </c>
    </row>
    <row r="32" spans="1:7" ht="54" hidden="1">
      <c r="A32" s="10" t="s">
        <v>10</v>
      </c>
      <c r="B32" s="9" t="s">
        <v>16</v>
      </c>
      <c r="C32" s="9" t="s">
        <v>154</v>
      </c>
      <c r="D32" s="9" t="s">
        <v>11</v>
      </c>
      <c r="E32" s="22"/>
      <c r="F32" s="22"/>
      <c r="G32" s="22"/>
    </row>
    <row r="33" spans="1:7" ht="87">
      <c r="A33" s="11" t="s">
        <v>102</v>
      </c>
      <c r="B33" s="8" t="s">
        <v>16</v>
      </c>
      <c r="C33" s="8" t="s">
        <v>135</v>
      </c>
      <c r="D33" s="8" t="s">
        <v>0</v>
      </c>
      <c r="E33" s="21">
        <f>SUM(E34:E35)</f>
        <v>175753.07</v>
      </c>
      <c r="F33" s="21">
        <f>SUM(F34:F35)</f>
        <v>0</v>
      </c>
      <c r="G33" s="21">
        <f>SUM(G34:G36)</f>
        <v>0</v>
      </c>
    </row>
    <row r="34" spans="1:7" ht="131.25" customHeight="1">
      <c r="A34" s="10" t="s">
        <v>6</v>
      </c>
      <c r="B34" s="9" t="s">
        <v>16</v>
      </c>
      <c r="C34" s="9" t="s">
        <v>135</v>
      </c>
      <c r="D34" s="9" t="s">
        <v>7</v>
      </c>
      <c r="E34" s="22">
        <f>175753.07</f>
        <v>175753.07</v>
      </c>
      <c r="F34" s="22"/>
      <c r="G34" s="22"/>
    </row>
    <row r="35" spans="1:7" ht="54" hidden="1">
      <c r="A35" s="10" t="s">
        <v>10</v>
      </c>
      <c r="B35" s="9" t="s">
        <v>16</v>
      </c>
      <c r="C35" s="9" t="s">
        <v>135</v>
      </c>
      <c r="D35" s="9" t="s">
        <v>11</v>
      </c>
      <c r="E35" s="20"/>
      <c r="F35" s="22"/>
      <c r="G35" s="22"/>
    </row>
    <row r="36" spans="1:7" ht="18" hidden="1">
      <c r="A36" s="10" t="s">
        <v>13</v>
      </c>
      <c r="B36" s="9" t="s">
        <v>16</v>
      </c>
      <c r="C36" s="9" t="s">
        <v>135</v>
      </c>
      <c r="D36" s="9" t="s">
        <v>14</v>
      </c>
      <c r="E36" s="20"/>
      <c r="F36" s="22"/>
      <c r="G36" s="22"/>
    </row>
    <row r="37" spans="1:7" ht="69">
      <c r="A37" s="11" t="s">
        <v>104</v>
      </c>
      <c r="B37" s="8" t="s">
        <v>16</v>
      </c>
      <c r="C37" s="8" t="s">
        <v>137</v>
      </c>
      <c r="D37" s="8" t="s">
        <v>0</v>
      </c>
      <c r="E37" s="21">
        <f>SUM(E38:E41)</f>
        <v>1547082.01</v>
      </c>
      <c r="F37" s="21">
        <f>SUM(F38:F41)</f>
        <v>1448300</v>
      </c>
      <c r="G37" s="21">
        <f>SUM(G38:G41)</f>
        <v>1459500</v>
      </c>
    </row>
    <row r="38" spans="1:7" ht="127.5" customHeight="1">
      <c r="A38" s="10" t="s">
        <v>6</v>
      </c>
      <c r="B38" s="9" t="s">
        <v>16</v>
      </c>
      <c r="C38" s="9" t="s">
        <v>137</v>
      </c>
      <c r="D38" s="9" t="s">
        <v>7</v>
      </c>
      <c r="E38" s="22">
        <f>297200+282839+206400+642742+1000+21182.01+911+14761</f>
        <v>1467035.01</v>
      </c>
      <c r="F38" s="22">
        <f>297200+263800+206400+642742</f>
        <v>1410142</v>
      </c>
      <c r="G38" s="22">
        <f>297200+273000+206400+642742</f>
        <v>1419342</v>
      </c>
    </row>
    <row r="39" spans="1:7" ht="57.75" customHeight="1">
      <c r="A39" s="10" t="s">
        <v>10</v>
      </c>
      <c r="B39" s="9" t="s">
        <v>16</v>
      </c>
      <c r="C39" s="9" t="s">
        <v>137</v>
      </c>
      <c r="D39" s="9" t="s">
        <v>11</v>
      </c>
      <c r="E39" s="22">
        <f>32561+23158+40000-911-14761</f>
        <v>80047</v>
      </c>
      <c r="F39" s="22">
        <f>15000+23158</f>
        <v>38158</v>
      </c>
      <c r="G39" s="22">
        <f>17000+23158</f>
        <v>40158</v>
      </c>
    </row>
    <row r="40" spans="1:7" ht="36" hidden="1">
      <c r="A40" s="10" t="s">
        <v>33</v>
      </c>
      <c r="B40" s="9" t="s">
        <v>16</v>
      </c>
      <c r="C40" s="9" t="s">
        <v>137</v>
      </c>
      <c r="D40" s="9" t="s">
        <v>34</v>
      </c>
      <c r="E40" s="22"/>
      <c r="F40" s="22"/>
      <c r="G40" s="22"/>
    </row>
    <row r="41" spans="1:7" ht="25.5" customHeight="1" hidden="1">
      <c r="A41" s="10" t="s">
        <v>13</v>
      </c>
      <c r="B41" s="9" t="s">
        <v>16</v>
      </c>
      <c r="C41" s="9" t="s">
        <v>137</v>
      </c>
      <c r="D41" s="9" t="s">
        <v>14</v>
      </c>
      <c r="E41" s="22"/>
      <c r="F41" s="22"/>
      <c r="G41" s="22"/>
    </row>
    <row r="42" spans="1:7" ht="24" customHeight="1">
      <c r="A42" s="11" t="s">
        <v>149</v>
      </c>
      <c r="B42" s="8" t="s">
        <v>150</v>
      </c>
      <c r="C42" s="9"/>
      <c r="D42" s="9"/>
      <c r="E42" s="21">
        <f aca="true" t="shared" si="1" ref="E42:G43">E43</f>
        <v>6800</v>
      </c>
      <c r="F42" s="21">
        <f t="shared" si="1"/>
        <v>58500</v>
      </c>
      <c r="G42" s="21">
        <f t="shared" si="1"/>
        <v>3500</v>
      </c>
    </row>
    <row r="43" spans="1:7" ht="69">
      <c r="A43" s="11" t="s">
        <v>103</v>
      </c>
      <c r="B43" s="8" t="s">
        <v>150</v>
      </c>
      <c r="C43" s="8" t="s">
        <v>151</v>
      </c>
      <c r="D43" s="9"/>
      <c r="E43" s="21">
        <f t="shared" si="1"/>
        <v>6800</v>
      </c>
      <c r="F43" s="21">
        <f t="shared" si="1"/>
        <v>58500</v>
      </c>
      <c r="G43" s="21">
        <f t="shared" si="1"/>
        <v>3500</v>
      </c>
    </row>
    <row r="44" spans="1:7" ht="54">
      <c r="A44" s="10" t="s">
        <v>10</v>
      </c>
      <c r="B44" s="9" t="s">
        <v>150</v>
      </c>
      <c r="C44" s="9" t="s">
        <v>151</v>
      </c>
      <c r="D44" s="9" t="s">
        <v>11</v>
      </c>
      <c r="E44" s="22">
        <f>6800</f>
        <v>6800</v>
      </c>
      <c r="F44" s="22">
        <f>58500</f>
        <v>58500</v>
      </c>
      <c r="G44" s="22">
        <f>3500</f>
        <v>3500</v>
      </c>
    </row>
    <row r="45" spans="1:7" ht="101.25" customHeight="1">
      <c r="A45" s="11" t="s">
        <v>17</v>
      </c>
      <c r="B45" s="8" t="s">
        <v>18</v>
      </c>
      <c r="C45" s="8" t="s">
        <v>0</v>
      </c>
      <c r="D45" s="8" t="s">
        <v>0</v>
      </c>
      <c r="E45" s="21">
        <f>E46+E54+E50</f>
        <v>7032282.13</v>
      </c>
      <c r="F45" s="21">
        <f>F46+F54+F50</f>
        <v>5902008</v>
      </c>
      <c r="G45" s="21">
        <f>G46+G54+G50</f>
        <v>5902008</v>
      </c>
    </row>
    <row r="46" spans="1:7" ht="138.75">
      <c r="A46" s="11" t="s">
        <v>181</v>
      </c>
      <c r="B46" s="8" t="s">
        <v>18</v>
      </c>
      <c r="C46" s="8" t="s">
        <v>138</v>
      </c>
      <c r="D46" s="8" t="s">
        <v>0</v>
      </c>
      <c r="E46" s="21">
        <f>SUM(E47:E49)</f>
        <v>7011241.81</v>
      </c>
      <c r="F46" s="21">
        <f>SUM(F47:F49)</f>
        <v>5902008</v>
      </c>
      <c r="G46" s="21">
        <f>SUM(G47:G49)</f>
        <v>5902008</v>
      </c>
    </row>
    <row r="47" spans="1:7" ht="131.25" customHeight="1">
      <c r="A47" s="10" t="s">
        <v>6</v>
      </c>
      <c r="B47" s="9" t="s">
        <v>18</v>
      </c>
      <c r="C47" s="9" t="s">
        <v>138</v>
      </c>
      <c r="D47" s="9" t="s">
        <v>7</v>
      </c>
      <c r="E47" s="22">
        <f>387787+6037961+142000+626.81-12000+16138</f>
        <v>6572512.81</v>
      </c>
      <c r="F47" s="22">
        <f>5818676</f>
        <v>5818676</v>
      </c>
      <c r="G47" s="22">
        <f>5818676</f>
        <v>5818676</v>
      </c>
    </row>
    <row r="48" spans="1:7" ht="54">
      <c r="A48" s="10" t="s">
        <v>10</v>
      </c>
      <c r="B48" s="9" t="s">
        <v>18</v>
      </c>
      <c r="C48" s="9" t="s">
        <v>138</v>
      </c>
      <c r="D48" s="9" t="s">
        <v>11</v>
      </c>
      <c r="E48" s="22">
        <f>66310+12000+271959+10000+70000</f>
        <v>430269</v>
      </c>
      <c r="F48" s="22">
        <f>80332</f>
        <v>80332</v>
      </c>
      <c r="G48" s="22">
        <f>80332</f>
        <v>80332</v>
      </c>
    </row>
    <row r="49" spans="1:7" ht="22.5" customHeight="1">
      <c r="A49" s="10" t="s">
        <v>13</v>
      </c>
      <c r="B49" s="9" t="s">
        <v>18</v>
      </c>
      <c r="C49" s="9" t="s">
        <v>138</v>
      </c>
      <c r="D49" s="9" t="s">
        <v>14</v>
      </c>
      <c r="E49" s="22">
        <f>6460+2000</f>
        <v>8460</v>
      </c>
      <c r="F49" s="22">
        <f>3000</f>
        <v>3000</v>
      </c>
      <c r="G49" s="22">
        <f>3000</f>
        <v>3000</v>
      </c>
    </row>
    <row r="50" spans="1:7" ht="87">
      <c r="A50" s="11" t="s">
        <v>102</v>
      </c>
      <c r="B50" s="8" t="s">
        <v>18</v>
      </c>
      <c r="C50" s="8" t="s">
        <v>135</v>
      </c>
      <c r="D50" s="8"/>
      <c r="E50" s="21">
        <f>E51+E52+E53</f>
        <v>21040.32</v>
      </c>
      <c r="F50" s="21">
        <f>F51+F52+F53</f>
        <v>0</v>
      </c>
      <c r="G50" s="21">
        <f>G51+G52+G53</f>
        <v>0</v>
      </c>
    </row>
    <row r="51" spans="1:7" ht="127.5" customHeight="1">
      <c r="A51" s="10" t="s">
        <v>6</v>
      </c>
      <c r="B51" s="9" t="s">
        <v>18</v>
      </c>
      <c r="C51" s="9" t="s">
        <v>135</v>
      </c>
      <c r="D51" s="9" t="s">
        <v>7</v>
      </c>
      <c r="E51" s="22">
        <f>21040.32</f>
        <v>21040.32</v>
      </c>
      <c r="F51" s="22"/>
      <c r="G51" s="22"/>
    </row>
    <row r="52" spans="1:7" ht="54" hidden="1">
      <c r="A52" s="10" t="s">
        <v>10</v>
      </c>
      <c r="B52" s="9" t="s">
        <v>18</v>
      </c>
      <c r="C52" s="9" t="s">
        <v>135</v>
      </c>
      <c r="D52" s="9" t="s">
        <v>11</v>
      </c>
      <c r="E52" s="22"/>
      <c r="F52" s="22"/>
      <c r="G52" s="22"/>
    </row>
    <row r="53" spans="1:7" ht="18" hidden="1">
      <c r="A53" s="10" t="s">
        <v>13</v>
      </c>
      <c r="B53" s="9" t="s">
        <v>18</v>
      </c>
      <c r="C53" s="9" t="s">
        <v>135</v>
      </c>
      <c r="D53" s="9" t="s">
        <v>14</v>
      </c>
      <c r="E53" s="22"/>
      <c r="F53" s="22"/>
      <c r="G53" s="22"/>
    </row>
    <row r="54" spans="1:7" ht="69" hidden="1">
      <c r="A54" s="11" t="s">
        <v>104</v>
      </c>
      <c r="B54" s="8" t="s">
        <v>18</v>
      </c>
      <c r="C54" s="8" t="s">
        <v>137</v>
      </c>
      <c r="D54" s="8" t="s">
        <v>0</v>
      </c>
      <c r="E54" s="21">
        <f>SUM(E55:E57)</f>
        <v>0</v>
      </c>
      <c r="F54" s="21">
        <f>SUM(F55:F57)</f>
        <v>0</v>
      </c>
      <c r="G54" s="21">
        <f>SUM(G55:G57)</f>
        <v>0</v>
      </c>
    </row>
    <row r="55" spans="1:7" ht="144" hidden="1">
      <c r="A55" s="10" t="s">
        <v>6</v>
      </c>
      <c r="B55" s="9" t="s">
        <v>18</v>
      </c>
      <c r="C55" s="9" t="s">
        <v>12</v>
      </c>
      <c r="D55" s="9" t="s">
        <v>7</v>
      </c>
      <c r="E55" s="22"/>
      <c r="F55" s="22"/>
      <c r="G55" s="22"/>
    </row>
    <row r="56" spans="1:7" ht="54" hidden="1">
      <c r="A56" s="10" t="s">
        <v>10</v>
      </c>
      <c r="B56" s="9" t="s">
        <v>18</v>
      </c>
      <c r="C56" s="9" t="s">
        <v>12</v>
      </c>
      <c r="D56" s="9" t="s">
        <v>11</v>
      </c>
      <c r="E56" s="22"/>
      <c r="F56" s="22"/>
      <c r="G56" s="22"/>
    </row>
    <row r="57" spans="1:7" ht="6" customHeight="1" hidden="1">
      <c r="A57" s="10" t="s">
        <v>13</v>
      </c>
      <c r="B57" s="9" t="s">
        <v>18</v>
      </c>
      <c r="C57" s="9" t="s">
        <v>137</v>
      </c>
      <c r="D57" s="9" t="s">
        <v>14</v>
      </c>
      <c r="E57" s="22"/>
      <c r="F57" s="22"/>
      <c r="G57" s="22"/>
    </row>
    <row r="58" spans="1:7" ht="34.5" hidden="1">
      <c r="A58" s="11" t="s">
        <v>19</v>
      </c>
      <c r="B58" s="8" t="s">
        <v>20</v>
      </c>
      <c r="C58" s="8" t="s">
        <v>137</v>
      </c>
      <c r="D58" s="8" t="s">
        <v>0</v>
      </c>
      <c r="E58" s="21">
        <f>E59</f>
        <v>0</v>
      </c>
      <c r="F58" s="21">
        <f>F59</f>
        <v>0</v>
      </c>
      <c r="G58" s="21">
        <f>G59</f>
        <v>0</v>
      </c>
    </row>
    <row r="59" spans="1:7" ht="69" hidden="1">
      <c r="A59" s="11" t="s">
        <v>104</v>
      </c>
      <c r="B59" s="8" t="s">
        <v>20</v>
      </c>
      <c r="C59" s="8" t="s">
        <v>137</v>
      </c>
      <c r="D59" s="8" t="s">
        <v>0</v>
      </c>
      <c r="E59" s="21">
        <f>E60+E61</f>
        <v>0</v>
      </c>
      <c r="F59" s="21">
        <f>F60+F61</f>
        <v>0</v>
      </c>
      <c r="G59" s="21">
        <f>G60+G61</f>
        <v>0</v>
      </c>
    </row>
    <row r="60" spans="1:7" ht="54" hidden="1">
      <c r="A60" s="10" t="s">
        <v>10</v>
      </c>
      <c r="B60" s="9" t="s">
        <v>20</v>
      </c>
      <c r="C60" s="9" t="s">
        <v>137</v>
      </c>
      <c r="D60" s="9" t="s">
        <v>11</v>
      </c>
      <c r="E60" s="22"/>
      <c r="F60" s="22"/>
      <c r="G60" s="22"/>
    </row>
    <row r="61" spans="1:7" ht="18" hidden="1">
      <c r="A61" s="10" t="s">
        <v>13</v>
      </c>
      <c r="B61" s="9" t="s">
        <v>20</v>
      </c>
      <c r="C61" s="9" t="s">
        <v>137</v>
      </c>
      <c r="D61" s="9" t="s">
        <v>14</v>
      </c>
      <c r="E61" s="22"/>
      <c r="F61" s="22"/>
      <c r="G61" s="22"/>
    </row>
    <row r="62" spans="1:7" ht="19.5" customHeight="1">
      <c r="A62" s="11" t="s">
        <v>21</v>
      </c>
      <c r="B62" s="8" t="s">
        <v>22</v>
      </c>
      <c r="C62" s="8"/>
      <c r="D62" s="8" t="s">
        <v>0</v>
      </c>
      <c r="E62" s="21">
        <f aca="true" t="shared" si="2" ref="E62:G63">E63</f>
        <v>0</v>
      </c>
      <c r="F62" s="21">
        <f t="shared" si="2"/>
        <v>150000</v>
      </c>
      <c r="G62" s="21">
        <f t="shared" si="2"/>
        <v>150000</v>
      </c>
    </row>
    <row r="63" spans="1:7" ht="77.25" customHeight="1">
      <c r="A63" s="11" t="s">
        <v>104</v>
      </c>
      <c r="B63" s="8" t="s">
        <v>22</v>
      </c>
      <c r="C63" s="8" t="s">
        <v>137</v>
      </c>
      <c r="D63" s="8" t="s">
        <v>0</v>
      </c>
      <c r="E63" s="21">
        <f t="shared" si="2"/>
        <v>0</v>
      </c>
      <c r="F63" s="21">
        <f t="shared" si="2"/>
        <v>150000</v>
      </c>
      <c r="G63" s="21">
        <f t="shared" si="2"/>
        <v>150000</v>
      </c>
    </row>
    <row r="64" spans="1:7" ht="18">
      <c r="A64" s="10" t="s">
        <v>13</v>
      </c>
      <c r="B64" s="9" t="s">
        <v>22</v>
      </c>
      <c r="C64" s="9" t="s">
        <v>137</v>
      </c>
      <c r="D64" s="9" t="s">
        <v>14</v>
      </c>
      <c r="E64" s="22">
        <f>150000-150000</f>
        <v>0</v>
      </c>
      <c r="F64" s="22">
        <f>150000</f>
        <v>150000</v>
      </c>
      <c r="G64" s="22">
        <f>150000</f>
        <v>150000</v>
      </c>
    </row>
    <row r="65" spans="1:7" ht="42" customHeight="1">
      <c r="A65" s="11" t="s">
        <v>23</v>
      </c>
      <c r="B65" s="8" t="s">
        <v>24</v>
      </c>
      <c r="C65" s="8" t="s">
        <v>0</v>
      </c>
      <c r="D65" s="8" t="s">
        <v>0</v>
      </c>
      <c r="E65" s="21">
        <f>E66+E71+E74+E78+E82</f>
        <v>24545021.78</v>
      </c>
      <c r="F65" s="21">
        <f>F66+F71+F74+F78+F82</f>
        <v>29962869</v>
      </c>
      <c r="G65" s="21">
        <f>G66+G71+G74+G78+G82</f>
        <v>32535869</v>
      </c>
    </row>
    <row r="66" spans="1:7" ht="150" customHeight="1">
      <c r="A66" s="11" t="s">
        <v>180</v>
      </c>
      <c r="B66" s="8" t="s">
        <v>24</v>
      </c>
      <c r="C66" s="8" t="s">
        <v>136</v>
      </c>
      <c r="D66" s="8" t="s">
        <v>0</v>
      </c>
      <c r="E66" s="21">
        <f>SUM(E67:E70)</f>
        <v>15251567.68</v>
      </c>
      <c r="F66" s="21">
        <f>SUM(F67:F70)</f>
        <v>9683354</v>
      </c>
      <c r="G66" s="21">
        <f>SUM(G67:G70)</f>
        <v>9683354</v>
      </c>
    </row>
    <row r="67" spans="1:7" ht="126" customHeight="1">
      <c r="A67" s="10" t="s">
        <v>6</v>
      </c>
      <c r="B67" s="9" t="s">
        <v>24</v>
      </c>
      <c r="C67" s="9" t="s">
        <v>136</v>
      </c>
      <c r="D67" s="9" t="s">
        <v>7</v>
      </c>
      <c r="E67" s="22">
        <f>7211312+281000+323000+173088-121919.32</f>
        <v>7866480.68</v>
      </c>
      <c r="F67" s="22">
        <f>7320714</f>
        <v>7320714</v>
      </c>
      <c r="G67" s="22">
        <f>7320714</f>
        <v>7320714</v>
      </c>
    </row>
    <row r="68" spans="1:7" ht="56.25" customHeight="1">
      <c r="A68" s="10" t="s">
        <v>10</v>
      </c>
      <c r="B68" s="9" t="s">
        <v>24</v>
      </c>
      <c r="C68" s="9" t="s">
        <v>136</v>
      </c>
      <c r="D68" s="9" t="s">
        <v>11</v>
      </c>
      <c r="E68" s="22">
        <f>3512659+3763360-323000+148500-160450-321588+709606</f>
        <v>7329087</v>
      </c>
      <c r="F68" s="22">
        <f>2306640</f>
        <v>2306640</v>
      </c>
      <c r="G68" s="22">
        <f>2306640</f>
        <v>2306640</v>
      </c>
    </row>
    <row r="69" spans="1:7" ht="36" hidden="1">
      <c r="A69" s="10" t="s">
        <v>33</v>
      </c>
      <c r="B69" s="9" t="s">
        <v>24</v>
      </c>
      <c r="C69" s="9" t="s">
        <v>136</v>
      </c>
      <c r="D69" s="9" t="s">
        <v>34</v>
      </c>
      <c r="E69" s="22"/>
      <c r="F69" s="22"/>
      <c r="G69" s="22"/>
    </row>
    <row r="70" spans="1:7" ht="28.5" customHeight="1">
      <c r="A70" s="10" t="s">
        <v>13</v>
      </c>
      <c r="B70" s="9" t="s">
        <v>24</v>
      </c>
      <c r="C70" s="9" t="s">
        <v>136</v>
      </c>
      <c r="D70" s="9" t="s">
        <v>14</v>
      </c>
      <c r="E70" s="22">
        <f>56000</f>
        <v>56000</v>
      </c>
      <c r="F70" s="22">
        <f>56000</f>
        <v>56000</v>
      </c>
      <c r="G70" s="22">
        <f>56000</f>
        <v>56000</v>
      </c>
    </row>
    <row r="71" spans="1:7" ht="126.75" customHeight="1">
      <c r="A71" s="11" t="s">
        <v>182</v>
      </c>
      <c r="B71" s="8" t="s">
        <v>24</v>
      </c>
      <c r="C71" s="8" t="s">
        <v>139</v>
      </c>
      <c r="D71" s="8"/>
      <c r="E71" s="21">
        <f>E72+E73</f>
        <v>1570686</v>
      </c>
      <c r="F71" s="21">
        <f>F72+F73</f>
        <v>637186</v>
      </c>
      <c r="G71" s="21">
        <f>G72+G73</f>
        <v>637186</v>
      </c>
    </row>
    <row r="72" spans="1:7" ht="54">
      <c r="A72" s="10" t="s">
        <v>10</v>
      </c>
      <c r="B72" s="9" t="s">
        <v>24</v>
      </c>
      <c r="C72" s="9" t="s">
        <v>139</v>
      </c>
      <c r="D72" s="9" t="s">
        <v>11</v>
      </c>
      <c r="E72" s="22">
        <f>867186+682800+300000-279300</f>
        <v>1570686</v>
      </c>
      <c r="F72" s="22">
        <f>637186</f>
        <v>637186</v>
      </c>
      <c r="G72" s="22">
        <f>637186</f>
        <v>637186</v>
      </c>
    </row>
    <row r="73" spans="1:7" ht="18" hidden="1">
      <c r="A73" s="10" t="s">
        <v>13</v>
      </c>
      <c r="B73" s="9" t="s">
        <v>24</v>
      </c>
      <c r="C73" s="9" t="s">
        <v>61</v>
      </c>
      <c r="D73" s="9" t="s">
        <v>14</v>
      </c>
      <c r="E73" s="22"/>
      <c r="F73" s="22"/>
      <c r="G73" s="22"/>
    </row>
    <row r="74" spans="1:7" ht="144.75" customHeight="1">
      <c r="A74" s="11" t="s">
        <v>183</v>
      </c>
      <c r="B74" s="8" t="s">
        <v>24</v>
      </c>
      <c r="C74" s="8" t="s">
        <v>162</v>
      </c>
      <c r="D74" s="8"/>
      <c r="E74" s="21">
        <f>SUM(E75:E77)</f>
        <v>6572397</v>
      </c>
      <c r="F74" s="21">
        <f>SUM(F75:F77)</f>
        <v>6223585</v>
      </c>
      <c r="G74" s="21">
        <f>SUM(G75:G77)</f>
        <v>6223585</v>
      </c>
    </row>
    <row r="75" spans="1:7" ht="155.25" customHeight="1">
      <c r="A75" s="10" t="s">
        <v>6</v>
      </c>
      <c r="B75" s="9" t="s">
        <v>24</v>
      </c>
      <c r="C75" s="9" t="s">
        <v>162</v>
      </c>
      <c r="D75" s="9" t="s">
        <v>7</v>
      </c>
      <c r="E75" s="22">
        <f>5802023-36209-3784</f>
        <v>5762030</v>
      </c>
      <c r="F75" s="22">
        <f>6012374</f>
        <v>6012374</v>
      </c>
      <c r="G75" s="22">
        <f>6012374</f>
        <v>6012374</v>
      </c>
    </row>
    <row r="76" spans="1:7" ht="52.5" customHeight="1">
      <c r="A76" s="10" t="s">
        <v>10</v>
      </c>
      <c r="B76" s="9" t="s">
        <v>24</v>
      </c>
      <c r="C76" s="9" t="s">
        <v>162</v>
      </c>
      <c r="D76" s="9" t="s">
        <v>11</v>
      </c>
      <c r="E76" s="22">
        <f>632781+45250+132336</f>
        <v>810367</v>
      </c>
      <c r="F76" s="22">
        <f>211211</f>
        <v>211211</v>
      </c>
      <c r="G76" s="22">
        <f>211211</f>
        <v>211211</v>
      </c>
    </row>
    <row r="77" spans="1:7" ht="18" hidden="1">
      <c r="A77" s="10" t="s">
        <v>13</v>
      </c>
      <c r="B77" s="9" t="s">
        <v>24</v>
      </c>
      <c r="C77" s="9" t="s">
        <v>162</v>
      </c>
      <c r="D77" s="9" t="s">
        <v>14</v>
      </c>
      <c r="E77" s="22"/>
      <c r="F77" s="22"/>
      <c r="G77" s="22"/>
    </row>
    <row r="78" spans="1:7" ht="87" hidden="1">
      <c r="A78" s="11" t="s">
        <v>102</v>
      </c>
      <c r="B78" s="8" t="s">
        <v>24</v>
      </c>
      <c r="C78" s="8" t="s">
        <v>135</v>
      </c>
      <c r="D78" s="8" t="s">
        <v>0</v>
      </c>
      <c r="E78" s="21">
        <f>E79+E80+E81</f>
        <v>0</v>
      </c>
      <c r="F78" s="21">
        <f>F79+F80+F81</f>
        <v>0</v>
      </c>
      <c r="G78" s="21">
        <f>G79+G80+G81</f>
        <v>0</v>
      </c>
    </row>
    <row r="79" spans="1:7" ht="0.75" customHeight="1" hidden="1">
      <c r="A79" s="10" t="s">
        <v>6</v>
      </c>
      <c r="B79" s="9" t="s">
        <v>24</v>
      </c>
      <c r="C79" s="9" t="s">
        <v>135</v>
      </c>
      <c r="D79" s="9" t="s">
        <v>7</v>
      </c>
      <c r="E79" s="22"/>
      <c r="F79" s="22"/>
      <c r="G79" s="22"/>
    </row>
    <row r="80" spans="1:7" ht="54" hidden="1">
      <c r="A80" s="10" t="s">
        <v>10</v>
      </c>
      <c r="B80" s="9" t="s">
        <v>24</v>
      </c>
      <c r="C80" s="9" t="s">
        <v>135</v>
      </c>
      <c r="D80" s="9" t="s">
        <v>11</v>
      </c>
      <c r="E80" s="22"/>
      <c r="F80" s="22"/>
      <c r="G80" s="22"/>
    </row>
    <row r="81" spans="1:7" ht="18" hidden="1">
      <c r="A81" s="10" t="s">
        <v>13</v>
      </c>
      <c r="B81" s="9" t="s">
        <v>24</v>
      </c>
      <c r="C81" s="9" t="s">
        <v>135</v>
      </c>
      <c r="D81" s="9" t="s">
        <v>14</v>
      </c>
      <c r="E81" s="22"/>
      <c r="F81" s="22"/>
      <c r="G81" s="22"/>
    </row>
    <row r="82" spans="1:7" ht="69">
      <c r="A82" s="11" t="s">
        <v>103</v>
      </c>
      <c r="B82" s="8" t="s">
        <v>24</v>
      </c>
      <c r="C82" s="8" t="s">
        <v>137</v>
      </c>
      <c r="D82" s="8" t="s">
        <v>0</v>
      </c>
      <c r="E82" s="21">
        <f>E83+E84+E85+E86+E87+E88</f>
        <v>1150371.1</v>
      </c>
      <c r="F82" s="21">
        <f>F83+F84+F85+F86+F87+F88</f>
        <v>13418744</v>
      </c>
      <c r="G82" s="21">
        <f>SUM(G83:G88)</f>
        <v>15991744</v>
      </c>
    </row>
    <row r="83" spans="1:7" ht="129" customHeight="1">
      <c r="A83" s="10" t="s">
        <v>6</v>
      </c>
      <c r="B83" s="9" t="s">
        <v>24</v>
      </c>
      <c r="C83" s="9" t="s">
        <v>137</v>
      </c>
      <c r="D83" s="9" t="s">
        <v>7</v>
      </c>
      <c r="E83" s="22">
        <f>790900+25800</f>
        <v>816700</v>
      </c>
      <c r="F83" s="22">
        <f>732400+25200</f>
        <v>757600</v>
      </c>
      <c r="G83" s="22">
        <f>770600</f>
        <v>770600</v>
      </c>
    </row>
    <row r="84" spans="1:7" ht="56.25" customHeight="1">
      <c r="A84" s="10" t="s">
        <v>10</v>
      </c>
      <c r="B84" s="9" t="s">
        <v>24</v>
      </c>
      <c r="C84" s="9" t="s">
        <v>137</v>
      </c>
      <c r="D84" s="9" t="s">
        <v>11</v>
      </c>
      <c r="E84" s="22">
        <f>263600-22.9</f>
        <v>263577.1</v>
      </c>
      <c r="F84" s="22">
        <f>53700</f>
        <v>53700</v>
      </c>
      <c r="G84" s="22">
        <f>53700</f>
        <v>53700</v>
      </c>
    </row>
    <row r="85" spans="1:7" ht="61.5" customHeight="1" hidden="1">
      <c r="A85" s="10" t="s">
        <v>33</v>
      </c>
      <c r="B85" s="9" t="s">
        <v>24</v>
      </c>
      <c r="C85" s="9" t="s">
        <v>12</v>
      </c>
      <c r="D85" s="9" t="s">
        <v>34</v>
      </c>
      <c r="E85" s="22"/>
      <c r="F85" s="22"/>
      <c r="G85" s="22"/>
    </row>
    <row r="86" spans="1:7" ht="51" customHeight="1" hidden="1">
      <c r="A86" s="10" t="s">
        <v>25</v>
      </c>
      <c r="B86" s="9" t="s">
        <v>24</v>
      </c>
      <c r="C86" s="9" t="s">
        <v>12</v>
      </c>
      <c r="D86" s="9" t="s">
        <v>26</v>
      </c>
      <c r="E86" s="22"/>
      <c r="F86" s="22"/>
      <c r="G86" s="22"/>
    </row>
    <row r="87" spans="1:7" ht="39.75" customHeight="1" hidden="1">
      <c r="A87" s="10" t="s">
        <v>27</v>
      </c>
      <c r="B87" s="9" t="s">
        <v>24</v>
      </c>
      <c r="C87" s="9" t="s">
        <v>137</v>
      </c>
      <c r="D87" s="9" t="s">
        <v>28</v>
      </c>
      <c r="E87" s="22"/>
      <c r="F87" s="22"/>
      <c r="G87" s="22"/>
    </row>
    <row r="88" spans="1:7" ht="27.75" customHeight="1">
      <c r="A88" s="10" t="s">
        <v>13</v>
      </c>
      <c r="B88" s="9" t="s">
        <v>24</v>
      </c>
      <c r="C88" s="9" t="s">
        <v>137</v>
      </c>
      <c r="D88" s="9" t="s">
        <v>14</v>
      </c>
      <c r="E88" s="22">
        <f>67444+2650</f>
        <v>70094</v>
      </c>
      <c r="F88" s="22">
        <f>14167444-1560000</f>
        <v>12607444</v>
      </c>
      <c r="G88" s="22">
        <f>15167444</f>
        <v>15167444</v>
      </c>
    </row>
    <row r="89" spans="1:7" s="19" customFormat="1" ht="69">
      <c r="A89" s="11" t="s">
        <v>121</v>
      </c>
      <c r="B89" s="8" t="s">
        <v>123</v>
      </c>
      <c r="C89" s="9"/>
      <c r="D89" s="9"/>
      <c r="E89" s="21">
        <f>E90+E93</f>
        <v>10000</v>
      </c>
      <c r="F89" s="21">
        <f>F90+F93</f>
        <v>518612</v>
      </c>
      <c r="G89" s="21">
        <f>G90+G93</f>
        <v>518612</v>
      </c>
    </row>
    <row r="90" spans="1:7" ht="90" customHeight="1">
      <c r="A90" s="11" t="s">
        <v>203</v>
      </c>
      <c r="B90" s="8" t="s">
        <v>204</v>
      </c>
      <c r="C90" s="9"/>
      <c r="D90" s="9"/>
      <c r="E90" s="21">
        <f aca="true" t="shared" si="3" ref="E90:G91">E91</f>
        <v>0</v>
      </c>
      <c r="F90" s="21">
        <f t="shared" si="3"/>
        <v>518612</v>
      </c>
      <c r="G90" s="21">
        <f t="shared" si="3"/>
        <v>518612</v>
      </c>
    </row>
    <row r="91" spans="1:7" ht="81.75" customHeight="1">
      <c r="A91" s="11" t="s">
        <v>103</v>
      </c>
      <c r="B91" s="8" t="s">
        <v>204</v>
      </c>
      <c r="C91" s="8" t="s">
        <v>137</v>
      </c>
      <c r="D91" s="8" t="s">
        <v>0</v>
      </c>
      <c r="E91" s="21">
        <f t="shared" si="3"/>
        <v>0</v>
      </c>
      <c r="F91" s="21">
        <f t="shared" si="3"/>
        <v>518612</v>
      </c>
      <c r="G91" s="21">
        <f t="shared" si="3"/>
        <v>518612</v>
      </c>
    </row>
    <row r="92" spans="1:7" ht="56.25" customHeight="1">
      <c r="A92" s="10" t="s">
        <v>10</v>
      </c>
      <c r="B92" s="9" t="s">
        <v>204</v>
      </c>
      <c r="C92" s="9" t="s">
        <v>137</v>
      </c>
      <c r="D92" s="9" t="s">
        <v>11</v>
      </c>
      <c r="E92" s="22">
        <f>518612-518612</f>
        <v>0</v>
      </c>
      <c r="F92" s="22">
        <f>518612</f>
        <v>518612</v>
      </c>
      <c r="G92" s="22">
        <f>518612</f>
        <v>518612</v>
      </c>
    </row>
    <row r="93" spans="1:7" ht="69" hidden="1">
      <c r="A93" s="11" t="s">
        <v>122</v>
      </c>
      <c r="B93" s="8" t="s">
        <v>124</v>
      </c>
      <c r="C93" s="9"/>
      <c r="D93" s="9"/>
      <c r="E93" s="21">
        <f>E94+E96</f>
        <v>10000</v>
      </c>
      <c r="F93" s="21">
        <f>F94+F96</f>
        <v>0</v>
      </c>
      <c r="G93" s="21">
        <f>G94+G96</f>
        <v>0</v>
      </c>
    </row>
    <row r="94" spans="1:7" ht="87">
      <c r="A94" s="11" t="s">
        <v>184</v>
      </c>
      <c r="B94" s="8" t="s">
        <v>124</v>
      </c>
      <c r="C94" s="8" t="s">
        <v>140</v>
      </c>
      <c r="D94" s="8"/>
      <c r="E94" s="21">
        <f>E95</f>
        <v>10000</v>
      </c>
      <c r="F94" s="21">
        <f>F95</f>
        <v>0</v>
      </c>
      <c r="G94" s="21">
        <f>G95</f>
        <v>0</v>
      </c>
    </row>
    <row r="95" spans="1:7" ht="126" customHeight="1">
      <c r="A95" s="10" t="s">
        <v>6</v>
      </c>
      <c r="B95" s="9" t="s">
        <v>124</v>
      </c>
      <c r="C95" s="9" t="s">
        <v>140</v>
      </c>
      <c r="D95" s="9" t="s">
        <v>7</v>
      </c>
      <c r="E95" s="22">
        <v>10000</v>
      </c>
      <c r="F95" s="22"/>
      <c r="G95" s="22"/>
    </row>
    <row r="96" spans="1:7" s="25" customFormat="1" ht="69" hidden="1">
      <c r="A96" s="11" t="s">
        <v>103</v>
      </c>
      <c r="B96" s="8" t="s">
        <v>124</v>
      </c>
      <c r="C96" s="8" t="s">
        <v>151</v>
      </c>
      <c r="D96" s="8"/>
      <c r="E96" s="21">
        <f>E97</f>
        <v>0</v>
      </c>
      <c r="F96" s="21">
        <f>F97</f>
        <v>0</v>
      </c>
      <c r="G96" s="21">
        <f>G97</f>
        <v>0</v>
      </c>
    </row>
    <row r="97" spans="1:7" ht="144" hidden="1">
      <c r="A97" s="10" t="s">
        <v>6</v>
      </c>
      <c r="B97" s="9" t="s">
        <v>124</v>
      </c>
      <c r="C97" s="9" t="s">
        <v>151</v>
      </c>
      <c r="D97" s="9" t="s">
        <v>7</v>
      </c>
      <c r="E97" s="22"/>
      <c r="F97" s="22"/>
      <c r="G97" s="22"/>
    </row>
    <row r="98" spans="1:7" ht="34.5">
      <c r="A98" s="11" t="s">
        <v>35</v>
      </c>
      <c r="B98" s="8" t="s">
        <v>36</v>
      </c>
      <c r="C98" s="8" t="s">
        <v>0</v>
      </c>
      <c r="D98" s="8" t="s">
        <v>0</v>
      </c>
      <c r="E98" s="21">
        <f>E99+E105+E109+E115</f>
        <v>14791926</v>
      </c>
      <c r="F98" s="21">
        <f>F99+F105+F109+F115</f>
        <v>9200000</v>
      </c>
      <c r="G98" s="21">
        <f>G99+G105+G109+G115</f>
        <v>9200000</v>
      </c>
    </row>
    <row r="99" spans="1:7" ht="34.5" hidden="1">
      <c r="A99" s="11" t="s">
        <v>37</v>
      </c>
      <c r="B99" s="8" t="s">
        <v>38</v>
      </c>
      <c r="C99" s="8" t="s">
        <v>0</v>
      </c>
      <c r="D99" s="8" t="s">
        <v>0</v>
      </c>
      <c r="E99" s="21">
        <f>E100+E102</f>
        <v>41000</v>
      </c>
      <c r="F99" s="21">
        <f>F100+F102</f>
        <v>0</v>
      </c>
      <c r="G99" s="21">
        <f>G100+G102</f>
        <v>0</v>
      </c>
    </row>
    <row r="100" spans="1:7" ht="87" hidden="1">
      <c r="A100" s="11" t="s">
        <v>102</v>
      </c>
      <c r="B100" s="8" t="s">
        <v>38</v>
      </c>
      <c r="C100" s="8" t="s">
        <v>5</v>
      </c>
      <c r="D100" s="8" t="s">
        <v>0</v>
      </c>
      <c r="E100" s="21">
        <f>E101</f>
        <v>0</v>
      </c>
      <c r="F100" s="21">
        <f>F101</f>
        <v>0</v>
      </c>
      <c r="G100" s="21">
        <f>G101</f>
        <v>0</v>
      </c>
    </row>
    <row r="101" spans="1:7" ht="54" hidden="1">
      <c r="A101" s="10" t="s">
        <v>10</v>
      </c>
      <c r="B101" s="9" t="s">
        <v>38</v>
      </c>
      <c r="C101" s="9" t="s">
        <v>5</v>
      </c>
      <c r="D101" s="9" t="s">
        <v>11</v>
      </c>
      <c r="E101" s="22"/>
      <c r="F101" s="22"/>
      <c r="G101" s="22"/>
    </row>
    <row r="102" spans="1:7" ht="69">
      <c r="A102" s="11" t="s">
        <v>103</v>
      </c>
      <c r="B102" s="8" t="s">
        <v>38</v>
      </c>
      <c r="C102" s="8" t="s">
        <v>137</v>
      </c>
      <c r="D102" s="8" t="s">
        <v>0</v>
      </c>
      <c r="E102" s="21">
        <f>E104+E103</f>
        <v>41000</v>
      </c>
      <c r="F102" s="21">
        <f>F104+F103</f>
        <v>0</v>
      </c>
      <c r="G102" s="21">
        <f>G104+G103</f>
        <v>0</v>
      </c>
    </row>
    <row r="103" spans="1:7" ht="54">
      <c r="A103" s="10" t="s">
        <v>10</v>
      </c>
      <c r="B103" s="9" t="s">
        <v>38</v>
      </c>
      <c r="C103" s="9" t="s">
        <v>137</v>
      </c>
      <c r="D103" s="9" t="s">
        <v>11</v>
      </c>
      <c r="E103" s="22">
        <f>41000</f>
        <v>41000</v>
      </c>
      <c r="F103" s="22"/>
      <c r="G103" s="22"/>
    </row>
    <row r="104" spans="1:7" ht="18" hidden="1">
      <c r="A104" s="10" t="s">
        <v>13</v>
      </c>
      <c r="B104" s="9" t="s">
        <v>38</v>
      </c>
      <c r="C104" s="9" t="s">
        <v>12</v>
      </c>
      <c r="D104" s="9" t="s">
        <v>14</v>
      </c>
      <c r="E104" s="22"/>
      <c r="F104" s="22"/>
      <c r="G104" s="22"/>
    </row>
    <row r="105" spans="1:7" ht="17.25" hidden="1">
      <c r="A105" s="11" t="s">
        <v>39</v>
      </c>
      <c r="B105" s="8" t="s">
        <v>40</v>
      </c>
      <c r="C105" s="8" t="s">
        <v>0</v>
      </c>
      <c r="D105" s="8" t="s">
        <v>0</v>
      </c>
      <c r="E105" s="21">
        <f>E106</f>
        <v>0</v>
      </c>
      <c r="F105" s="21">
        <f>F106</f>
        <v>0</v>
      </c>
      <c r="G105" s="21">
        <f>G106</f>
        <v>0</v>
      </c>
    </row>
    <row r="106" spans="1:7" ht="69" hidden="1">
      <c r="A106" s="11" t="s">
        <v>103</v>
      </c>
      <c r="B106" s="8" t="s">
        <v>40</v>
      </c>
      <c r="C106" s="8" t="s">
        <v>12</v>
      </c>
      <c r="D106" s="8" t="s">
        <v>0</v>
      </c>
      <c r="E106" s="21">
        <f>E107+E108</f>
        <v>0</v>
      </c>
      <c r="F106" s="21">
        <f>F107+F108</f>
        <v>0</v>
      </c>
      <c r="G106" s="21">
        <f>G107+G108</f>
        <v>0</v>
      </c>
    </row>
    <row r="107" spans="1:7" ht="54" hidden="1">
      <c r="A107" s="10" t="s">
        <v>10</v>
      </c>
      <c r="B107" s="9" t="s">
        <v>40</v>
      </c>
      <c r="C107" s="9" t="s">
        <v>12</v>
      </c>
      <c r="D107" s="9" t="s">
        <v>11</v>
      </c>
      <c r="E107" s="22"/>
      <c r="F107" s="22"/>
      <c r="G107" s="22"/>
    </row>
    <row r="108" spans="1:7" ht="72" hidden="1">
      <c r="A108" s="10" t="s">
        <v>31</v>
      </c>
      <c r="B108" s="9" t="s">
        <v>40</v>
      </c>
      <c r="C108" s="9" t="s">
        <v>12</v>
      </c>
      <c r="D108" s="9" t="s">
        <v>32</v>
      </c>
      <c r="E108" s="22"/>
      <c r="F108" s="22"/>
      <c r="G108" s="22"/>
    </row>
    <row r="109" spans="1:7" ht="34.5">
      <c r="A109" s="11" t="s">
        <v>42</v>
      </c>
      <c r="B109" s="8" t="s">
        <v>43</v>
      </c>
      <c r="C109" s="8" t="s">
        <v>0</v>
      </c>
      <c r="D109" s="8" t="s">
        <v>0</v>
      </c>
      <c r="E109" s="21">
        <f>E110+E112</f>
        <v>12350926</v>
      </c>
      <c r="F109" s="21">
        <f>F110</f>
        <v>8000000</v>
      </c>
      <c r="G109" s="21">
        <f>G110</f>
        <v>8000000</v>
      </c>
    </row>
    <row r="110" spans="1:7" ht="141" customHeight="1">
      <c r="A110" s="11" t="s">
        <v>196</v>
      </c>
      <c r="B110" s="8" t="s">
        <v>43</v>
      </c>
      <c r="C110" s="8" t="s">
        <v>197</v>
      </c>
      <c r="D110" s="8" t="s">
        <v>0</v>
      </c>
      <c r="E110" s="21">
        <f>E111</f>
        <v>6690948.51</v>
      </c>
      <c r="F110" s="21">
        <f>F111+F112+F113+F114</f>
        <v>8000000</v>
      </c>
      <c r="G110" s="21">
        <f>G111+G112+G113+G114</f>
        <v>8000000</v>
      </c>
    </row>
    <row r="111" spans="1:7" ht="54">
      <c r="A111" s="10" t="s">
        <v>10</v>
      </c>
      <c r="B111" s="9" t="s">
        <v>43</v>
      </c>
      <c r="C111" s="9" t="s">
        <v>197</v>
      </c>
      <c r="D111" s="9" t="s">
        <v>11</v>
      </c>
      <c r="E111" s="22">
        <f>8000000+80809-1389860.49</f>
        <v>6690948.51</v>
      </c>
      <c r="F111" s="22">
        <f>8000000</f>
        <v>8000000</v>
      </c>
      <c r="G111" s="22">
        <f>8000000</f>
        <v>8000000</v>
      </c>
    </row>
    <row r="112" spans="1:7" ht="69">
      <c r="A112" s="11" t="s">
        <v>103</v>
      </c>
      <c r="B112" s="8" t="s">
        <v>43</v>
      </c>
      <c r="C112" s="8" t="s">
        <v>137</v>
      </c>
      <c r="D112" s="8"/>
      <c r="E112" s="21">
        <f>E113</f>
        <v>5659977.49</v>
      </c>
      <c r="F112" s="22"/>
      <c r="G112" s="22"/>
    </row>
    <row r="113" spans="1:7" ht="59.25" customHeight="1">
      <c r="A113" s="10" t="s">
        <v>10</v>
      </c>
      <c r="B113" s="9" t="s">
        <v>43</v>
      </c>
      <c r="C113" s="9" t="s">
        <v>151</v>
      </c>
      <c r="D113" s="9" t="s">
        <v>11</v>
      </c>
      <c r="E113" s="22">
        <f>6060606-400628.51</f>
        <v>5659977.49</v>
      </c>
      <c r="F113" s="22"/>
      <c r="G113" s="22"/>
    </row>
    <row r="114" spans="1:7" ht="18" hidden="1">
      <c r="A114" s="10" t="s">
        <v>13</v>
      </c>
      <c r="B114" s="9" t="s">
        <v>43</v>
      </c>
      <c r="C114" s="9" t="s">
        <v>12</v>
      </c>
      <c r="D114" s="9" t="s">
        <v>14</v>
      </c>
      <c r="E114" s="22"/>
      <c r="F114" s="22"/>
      <c r="G114" s="22"/>
    </row>
    <row r="115" spans="1:7" ht="34.5">
      <c r="A115" s="11" t="s">
        <v>44</v>
      </c>
      <c r="B115" s="8" t="s">
        <v>45</v>
      </c>
      <c r="C115" s="8" t="s">
        <v>0</v>
      </c>
      <c r="D115" s="8" t="s">
        <v>0</v>
      </c>
      <c r="E115" s="21">
        <f>E116+E118</f>
        <v>2400000</v>
      </c>
      <c r="F115" s="21">
        <f>F116+F118</f>
        <v>1200000</v>
      </c>
      <c r="G115" s="21">
        <f>G116+G118</f>
        <v>1200000</v>
      </c>
    </row>
    <row r="116" spans="1:7" ht="145.5" customHeight="1">
      <c r="A116" s="11" t="s">
        <v>180</v>
      </c>
      <c r="B116" s="8" t="s">
        <v>45</v>
      </c>
      <c r="C116" s="8" t="s">
        <v>199</v>
      </c>
      <c r="D116" s="8" t="s">
        <v>0</v>
      </c>
      <c r="E116" s="21">
        <f>E117</f>
        <v>2400000</v>
      </c>
      <c r="F116" s="21">
        <f>F117</f>
        <v>1200000</v>
      </c>
      <c r="G116" s="21">
        <f>G117</f>
        <v>1200000</v>
      </c>
    </row>
    <row r="117" spans="1:7" ht="57" customHeight="1">
      <c r="A117" s="10" t="s">
        <v>10</v>
      </c>
      <c r="B117" s="9" t="s">
        <v>45</v>
      </c>
      <c r="C117" s="9" t="s">
        <v>199</v>
      </c>
      <c r="D117" s="9" t="s">
        <v>11</v>
      </c>
      <c r="E117" s="22">
        <f>700000+2000000-300000</f>
        <v>2400000</v>
      </c>
      <c r="F117" s="22">
        <f>1200000</f>
        <v>1200000</v>
      </c>
      <c r="G117" s="22">
        <f>1200000</f>
        <v>1200000</v>
      </c>
    </row>
    <row r="118" spans="1:7" ht="63" customHeight="1" hidden="1">
      <c r="A118" s="11" t="s">
        <v>103</v>
      </c>
      <c r="B118" s="8" t="s">
        <v>45</v>
      </c>
      <c r="C118" s="8" t="s">
        <v>151</v>
      </c>
      <c r="D118" s="8"/>
      <c r="E118" s="21">
        <f>E119</f>
        <v>0</v>
      </c>
      <c r="F118" s="21">
        <f>F119</f>
        <v>0</v>
      </c>
      <c r="G118" s="21">
        <f>G119</f>
        <v>0</v>
      </c>
    </row>
    <row r="119" spans="1:7" ht="63" customHeight="1" hidden="1">
      <c r="A119" s="10" t="s">
        <v>10</v>
      </c>
      <c r="B119" s="9" t="s">
        <v>45</v>
      </c>
      <c r="C119" s="9" t="s">
        <v>151</v>
      </c>
      <c r="D119" s="9" t="s">
        <v>11</v>
      </c>
      <c r="E119" s="22"/>
      <c r="F119" s="22"/>
      <c r="G119" s="22"/>
    </row>
    <row r="120" spans="1:7" ht="55.5" customHeight="1">
      <c r="A120" s="11" t="s">
        <v>46</v>
      </c>
      <c r="B120" s="8" t="s">
        <v>47</v>
      </c>
      <c r="C120" s="8" t="s">
        <v>0</v>
      </c>
      <c r="D120" s="8" t="s">
        <v>0</v>
      </c>
      <c r="E120" s="21">
        <f>E121+E124+E133</f>
        <v>12108929.530000001</v>
      </c>
      <c r="F120" s="21">
        <f>F121+F124+F133</f>
        <v>7800000</v>
      </c>
      <c r="G120" s="21">
        <f>G121+G124+G133</f>
        <v>19920000</v>
      </c>
    </row>
    <row r="121" spans="1:7" ht="0.75" customHeight="1" hidden="1">
      <c r="A121" s="11" t="s">
        <v>48</v>
      </c>
      <c r="B121" s="8" t="s">
        <v>49</v>
      </c>
      <c r="C121" s="8" t="s">
        <v>0</v>
      </c>
      <c r="D121" s="8" t="s">
        <v>0</v>
      </c>
      <c r="E121" s="21">
        <f aca="true" t="shared" si="4" ref="E121:G122">E122</f>
        <v>0</v>
      </c>
      <c r="F121" s="21">
        <f t="shared" si="4"/>
        <v>0</v>
      </c>
      <c r="G121" s="21">
        <f t="shared" si="4"/>
        <v>0</v>
      </c>
    </row>
    <row r="122" spans="1:7" ht="69" hidden="1">
      <c r="A122" s="11" t="s">
        <v>103</v>
      </c>
      <c r="B122" s="8" t="s">
        <v>49</v>
      </c>
      <c r="C122" s="8" t="s">
        <v>12</v>
      </c>
      <c r="D122" s="8" t="s">
        <v>0</v>
      </c>
      <c r="E122" s="21">
        <f t="shared" si="4"/>
        <v>0</v>
      </c>
      <c r="F122" s="21">
        <f t="shared" si="4"/>
        <v>0</v>
      </c>
      <c r="G122" s="21">
        <f t="shared" si="4"/>
        <v>0</v>
      </c>
    </row>
    <row r="123" spans="1:7" ht="18" hidden="1">
      <c r="A123" s="10" t="s">
        <v>25</v>
      </c>
      <c r="B123" s="9" t="s">
        <v>49</v>
      </c>
      <c r="C123" s="9" t="s">
        <v>12</v>
      </c>
      <c r="D123" s="9" t="s">
        <v>26</v>
      </c>
      <c r="E123" s="22"/>
      <c r="F123" s="22"/>
      <c r="G123" s="22"/>
    </row>
    <row r="124" spans="1:7" ht="17.25">
      <c r="A124" s="11" t="s">
        <v>50</v>
      </c>
      <c r="B124" s="8" t="s">
        <v>51</v>
      </c>
      <c r="C124" s="8" t="s">
        <v>0</v>
      </c>
      <c r="D124" s="8" t="s">
        <v>0</v>
      </c>
      <c r="E124" s="21">
        <f>E129+E125</f>
        <v>8409948.530000001</v>
      </c>
      <c r="F124" s="21">
        <f>F129+F125</f>
        <v>7800000</v>
      </c>
      <c r="G124" s="21">
        <f>G129+G125</f>
        <v>19920000</v>
      </c>
    </row>
    <row r="125" spans="1:7" ht="121.5">
      <c r="A125" s="11" t="s">
        <v>185</v>
      </c>
      <c r="B125" s="8" t="s">
        <v>51</v>
      </c>
      <c r="C125" s="8" t="s">
        <v>155</v>
      </c>
      <c r="D125" s="8"/>
      <c r="E125" s="21">
        <f>E128+E126+E127</f>
        <v>3263306</v>
      </c>
      <c r="F125" s="21">
        <f>F128+F126+F127</f>
        <v>7800000</v>
      </c>
      <c r="G125" s="21">
        <f>G128+G126+G127</f>
        <v>19920000</v>
      </c>
    </row>
    <row r="126" spans="1:7" ht="54">
      <c r="A126" s="10" t="s">
        <v>10</v>
      </c>
      <c r="B126" s="9" t="s">
        <v>51</v>
      </c>
      <c r="C126" s="9" t="s">
        <v>155</v>
      </c>
      <c r="D126" s="9" t="s">
        <v>11</v>
      </c>
      <c r="E126" s="22">
        <f>2100000+861900-1400000-783900</f>
        <v>778000</v>
      </c>
      <c r="F126" s="22">
        <f>6240000+1560000-7800000</f>
        <v>0</v>
      </c>
      <c r="G126" s="22">
        <v>0</v>
      </c>
    </row>
    <row r="127" spans="1:7" ht="54.75" customHeight="1">
      <c r="A127" s="10" t="s">
        <v>208</v>
      </c>
      <c r="B127" s="9" t="s">
        <v>51</v>
      </c>
      <c r="C127" s="9" t="s">
        <v>155</v>
      </c>
      <c r="D127" s="9" t="s">
        <v>32</v>
      </c>
      <c r="E127" s="22">
        <f>783900-783900</f>
        <v>0</v>
      </c>
      <c r="F127" s="22">
        <f>7800000</f>
        <v>7800000</v>
      </c>
      <c r="G127" s="22">
        <f>19920000</f>
        <v>19920000</v>
      </c>
    </row>
    <row r="128" spans="1:7" ht="18">
      <c r="A128" s="10" t="s">
        <v>13</v>
      </c>
      <c r="B128" s="9" t="s">
        <v>51</v>
      </c>
      <c r="C128" s="9" t="s">
        <v>155</v>
      </c>
      <c r="D128" s="9" t="s">
        <v>14</v>
      </c>
      <c r="E128" s="22">
        <f>1000000+1300000+185306</f>
        <v>2485306</v>
      </c>
      <c r="F128" s="22"/>
      <c r="G128" s="22"/>
    </row>
    <row r="129" spans="1:7" ht="75" customHeight="1">
      <c r="A129" s="11" t="s">
        <v>103</v>
      </c>
      <c r="B129" s="8" t="s">
        <v>51</v>
      </c>
      <c r="C129" s="8" t="s">
        <v>137</v>
      </c>
      <c r="D129" s="8" t="s">
        <v>0</v>
      </c>
      <c r="E129" s="21">
        <f>E130+E132+E131</f>
        <v>5146642.53</v>
      </c>
      <c r="F129" s="21">
        <f>F130+F132</f>
        <v>0</v>
      </c>
      <c r="G129" s="21">
        <f>G130+G132</f>
        <v>0</v>
      </c>
    </row>
    <row r="130" spans="1:7" ht="54" hidden="1">
      <c r="A130" s="10" t="s">
        <v>10</v>
      </c>
      <c r="B130" s="9" t="s">
        <v>51</v>
      </c>
      <c r="C130" s="9" t="s">
        <v>137</v>
      </c>
      <c r="D130" s="9" t="s">
        <v>11</v>
      </c>
      <c r="E130" s="22"/>
      <c r="F130" s="22"/>
      <c r="G130" s="22"/>
    </row>
    <row r="131" spans="1:7" ht="33" customHeight="1">
      <c r="A131" s="10" t="s">
        <v>25</v>
      </c>
      <c r="B131" s="9" t="s">
        <v>51</v>
      </c>
      <c r="C131" s="9" t="s">
        <v>137</v>
      </c>
      <c r="D131" s="9" t="s">
        <v>26</v>
      </c>
      <c r="E131" s="22">
        <f>2120650+370000+200000+511990</f>
        <v>3202640</v>
      </c>
      <c r="F131" s="22"/>
      <c r="G131" s="22"/>
    </row>
    <row r="132" spans="1:7" ht="23.25" customHeight="1">
      <c r="A132" s="10" t="s">
        <v>13</v>
      </c>
      <c r="B132" s="9" t="s">
        <v>51</v>
      </c>
      <c r="C132" s="9" t="s">
        <v>137</v>
      </c>
      <c r="D132" s="9" t="s">
        <v>14</v>
      </c>
      <c r="E132" s="22">
        <f>998200+656600+327700-38497.47</f>
        <v>1944002.53</v>
      </c>
      <c r="F132" s="22"/>
      <c r="G132" s="22"/>
    </row>
    <row r="133" spans="1:7" ht="18">
      <c r="A133" s="11" t="s">
        <v>127</v>
      </c>
      <c r="B133" s="8" t="s">
        <v>126</v>
      </c>
      <c r="C133" s="9"/>
      <c r="D133" s="9"/>
      <c r="E133" s="21">
        <f>E136+E134</f>
        <v>3698981</v>
      </c>
      <c r="F133" s="21">
        <f>F136+F134</f>
        <v>0</v>
      </c>
      <c r="G133" s="21">
        <f>G136+G134</f>
        <v>0</v>
      </c>
    </row>
    <row r="134" spans="1:7" ht="51.75">
      <c r="A134" s="11" t="s">
        <v>206</v>
      </c>
      <c r="B134" s="8" t="s">
        <v>126</v>
      </c>
      <c r="C134" s="8" t="s">
        <v>205</v>
      </c>
      <c r="D134" s="9"/>
      <c r="E134" s="21">
        <f>E135</f>
        <v>2779934</v>
      </c>
      <c r="F134" s="21">
        <f>F135</f>
        <v>0</v>
      </c>
      <c r="G134" s="21">
        <f>G135</f>
        <v>0</v>
      </c>
    </row>
    <row r="135" spans="1:7" ht="75.75" customHeight="1">
      <c r="A135" s="10" t="s">
        <v>27</v>
      </c>
      <c r="B135" s="9" t="s">
        <v>126</v>
      </c>
      <c r="C135" s="9" t="s">
        <v>205</v>
      </c>
      <c r="D135" s="9" t="s">
        <v>28</v>
      </c>
      <c r="E135" s="22">
        <v>2779934</v>
      </c>
      <c r="F135" s="22"/>
      <c r="G135" s="22"/>
    </row>
    <row r="136" spans="1:7" ht="69">
      <c r="A136" s="11" t="s">
        <v>103</v>
      </c>
      <c r="B136" s="8" t="s">
        <v>126</v>
      </c>
      <c r="C136" s="8" t="s">
        <v>137</v>
      </c>
      <c r="D136" s="9"/>
      <c r="E136" s="21">
        <f>E138+E137</f>
        <v>919047</v>
      </c>
      <c r="F136" s="22"/>
      <c r="G136" s="22"/>
    </row>
    <row r="137" spans="1:7" ht="54">
      <c r="A137" s="10" t="s">
        <v>10</v>
      </c>
      <c r="B137" s="9" t="s">
        <v>126</v>
      </c>
      <c r="C137" s="9" t="s">
        <v>137</v>
      </c>
      <c r="D137" s="9" t="s">
        <v>11</v>
      </c>
      <c r="E137" s="22">
        <v>50000</v>
      </c>
      <c r="F137" s="22"/>
      <c r="G137" s="22"/>
    </row>
    <row r="138" spans="1:7" ht="18">
      <c r="A138" s="10" t="s">
        <v>25</v>
      </c>
      <c r="B138" s="9" t="s">
        <v>126</v>
      </c>
      <c r="C138" s="9" t="s">
        <v>137</v>
      </c>
      <c r="D138" s="9" t="s">
        <v>26</v>
      </c>
      <c r="E138" s="22">
        <f>701000+168047</f>
        <v>869047</v>
      </c>
      <c r="F138" s="22"/>
      <c r="G138" s="22"/>
    </row>
    <row r="139" spans="1:7" ht="17.25">
      <c r="A139" s="11" t="s">
        <v>53</v>
      </c>
      <c r="B139" s="8" t="s">
        <v>54</v>
      </c>
      <c r="C139" s="8" t="s">
        <v>0</v>
      </c>
      <c r="D139" s="8" t="s">
        <v>0</v>
      </c>
      <c r="E139" s="21">
        <f>E140+E155+E214+E229+E211+E190</f>
        <v>224512190.7</v>
      </c>
      <c r="F139" s="21">
        <f>F140+F155+F214+F229+F211+F190</f>
        <v>203157941.75</v>
      </c>
      <c r="G139" s="21">
        <f>G140+G155+G214+G229+G211+G190</f>
        <v>204824213.96</v>
      </c>
    </row>
    <row r="140" spans="1:7" ht="17.25">
      <c r="A140" s="11" t="s">
        <v>55</v>
      </c>
      <c r="B140" s="8" t="s">
        <v>56</v>
      </c>
      <c r="C140" s="8" t="s">
        <v>0</v>
      </c>
      <c r="D140" s="8" t="s">
        <v>0</v>
      </c>
      <c r="E140" s="21">
        <f>E149+E141</f>
        <v>17922257.27</v>
      </c>
      <c r="F140" s="21">
        <f>F149+F141</f>
        <v>19438144</v>
      </c>
      <c r="G140" s="21">
        <f>G149+G141</f>
        <v>19949144</v>
      </c>
    </row>
    <row r="141" spans="1:7" ht="73.5" customHeight="1">
      <c r="A141" s="11" t="s">
        <v>186</v>
      </c>
      <c r="B141" s="8" t="s">
        <v>56</v>
      </c>
      <c r="C141" s="8" t="s">
        <v>156</v>
      </c>
      <c r="D141" s="8"/>
      <c r="E141" s="21">
        <f>E142+E146</f>
        <v>8722961.27</v>
      </c>
      <c r="F141" s="21">
        <f>F142+F146</f>
        <v>8681044</v>
      </c>
      <c r="G141" s="21">
        <f>G142+G146</f>
        <v>8681044</v>
      </c>
    </row>
    <row r="142" spans="1:7" ht="69">
      <c r="A142" s="27" t="s">
        <v>194</v>
      </c>
      <c r="B142" s="8" t="s">
        <v>56</v>
      </c>
      <c r="C142" s="8" t="s">
        <v>193</v>
      </c>
      <c r="D142" s="8"/>
      <c r="E142" s="21">
        <f>E145+E143+E144</f>
        <v>6805195.639999999</v>
      </c>
      <c r="F142" s="21">
        <f>F145+F143+F144</f>
        <v>6481044</v>
      </c>
      <c r="G142" s="21">
        <f>G145+G143+G144</f>
        <v>6481044</v>
      </c>
    </row>
    <row r="143" spans="1:7" ht="144">
      <c r="A143" s="10" t="s">
        <v>6</v>
      </c>
      <c r="B143" s="9" t="s">
        <v>56</v>
      </c>
      <c r="C143" s="9" t="s">
        <v>193</v>
      </c>
      <c r="D143" s="9" t="s">
        <v>7</v>
      </c>
      <c r="E143" s="22">
        <f>759216.55</f>
        <v>759216.55</v>
      </c>
      <c r="F143" s="22">
        <f>4353569</f>
        <v>4353569</v>
      </c>
      <c r="G143" s="22">
        <f>4353569</f>
        <v>4353569</v>
      </c>
    </row>
    <row r="144" spans="1:7" ht="54">
      <c r="A144" s="10" t="s">
        <v>10</v>
      </c>
      <c r="B144" s="9" t="s">
        <v>56</v>
      </c>
      <c r="C144" s="9" t="s">
        <v>193</v>
      </c>
      <c r="D144" s="9" t="s">
        <v>11</v>
      </c>
      <c r="E144" s="22">
        <f>1029264.05+890321.63-890321.63</f>
        <v>1029264.0500000002</v>
      </c>
      <c r="F144" s="22">
        <f>2127475+2200000-2200000</f>
        <v>2127475</v>
      </c>
      <c r="G144" s="22">
        <f>2127475+2200000-2200000</f>
        <v>2127475</v>
      </c>
    </row>
    <row r="145" spans="1:7" ht="72">
      <c r="A145" s="10" t="s">
        <v>27</v>
      </c>
      <c r="B145" s="9" t="s">
        <v>56</v>
      </c>
      <c r="C145" s="9" t="s">
        <v>193</v>
      </c>
      <c r="D145" s="9" t="s">
        <v>28</v>
      </c>
      <c r="E145" s="22">
        <f>6721482-1020+324772-6000-190600-3500+215592-255530.36-1788480.6</f>
        <v>5016715.039999999</v>
      </c>
      <c r="F145" s="22">
        <f>6481044-6481044</f>
        <v>0</v>
      </c>
      <c r="G145" s="22">
        <f>6481044-6481044</f>
        <v>0</v>
      </c>
    </row>
    <row r="146" spans="1:7" ht="51.75">
      <c r="A146" s="28" t="s">
        <v>195</v>
      </c>
      <c r="B146" s="8" t="s">
        <v>56</v>
      </c>
      <c r="C146" s="8" t="s">
        <v>157</v>
      </c>
      <c r="D146" s="9"/>
      <c r="E146" s="21">
        <f>E148+E147</f>
        <v>1917765.63</v>
      </c>
      <c r="F146" s="21">
        <f>F148+F147</f>
        <v>2200000</v>
      </c>
      <c r="G146" s="21">
        <f>G148+G147</f>
        <v>2200000</v>
      </c>
    </row>
    <row r="147" spans="1:7" ht="54">
      <c r="A147" s="10" t="s">
        <v>10</v>
      </c>
      <c r="B147" s="9" t="s">
        <v>56</v>
      </c>
      <c r="C147" s="9" t="s">
        <v>157</v>
      </c>
      <c r="D147" s="9" t="s">
        <v>11</v>
      </c>
      <c r="E147" s="22">
        <f>890321.63-130000</f>
        <v>760321.63</v>
      </c>
      <c r="F147" s="22">
        <f>2200000</f>
        <v>2200000</v>
      </c>
      <c r="G147" s="22">
        <f>2200000</f>
        <v>2200000</v>
      </c>
    </row>
    <row r="148" spans="1:7" ht="54">
      <c r="A148" s="10" t="s">
        <v>10</v>
      </c>
      <c r="B148" s="9" t="s">
        <v>56</v>
      </c>
      <c r="C148" s="9" t="s">
        <v>157</v>
      </c>
      <c r="D148" s="9" t="s">
        <v>28</v>
      </c>
      <c r="E148" s="22">
        <f>55321.2+1020+50000+1051102.8</f>
        <v>1157444</v>
      </c>
      <c r="F148" s="22"/>
      <c r="G148" s="22"/>
    </row>
    <row r="149" spans="1:7" ht="69">
      <c r="A149" s="11" t="s">
        <v>103</v>
      </c>
      <c r="B149" s="8" t="s">
        <v>56</v>
      </c>
      <c r="C149" s="8" t="s">
        <v>137</v>
      </c>
      <c r="D149" s="8" t="s">
        <v>0</v>
      </c>
      <c r="E149" s="21">
        <f>E150+E153+E151+E152+E154</f>
        <v>9199296</v>
      </c>
      <c r="F149" s="21">
        <f>F150+F153+F151+F152+F154</f>
        <v>10757100</v>
      </c>
      <c r="G149" s="21">
        <f>G150+G153+G151+G152+G154</f>
        <v>11268100</v>
      </c>
    </row>
    <row r="150" spans="1:7" ht="144">
      <c r="A150" s="10" t="s">
        <v>6</v>
      </c>
      <c r="B150" s="9" t="s">
        <v>56</v>
      </c>
      <c r="C150" s="9" t="s">
        <v>137</v>
      </c>
      <c r="D150" s="9" t="s">
        <v>7</v>
      </c>
      <c r="E150" s="22">
        <f>2042388+616802+680796+205600-12386-409100+1614377.42+74200-70000-285600-136600+966+9439.68</f>
        <v>4330883.1</v>
      </c>
      <c r="F150" s="22">
        <f>1764948+533015+588316+177672+7573545</f>
        <v>10637496</v>
      </c>
      <c r="G150" s="22">
        <f>1848836+558349+616279+186116+7937445</f>
        <v>11147025</v>
      </c>
    </row>
    <row r="151" spans="1:7" ht="54">
      <c r="A151" s="10" t="s">
        <v>10</v>
      </c>
      <c r="B151" s="9" t="s">
        <v>56</v>
      </c>
      <c r="C151" s="9" t="s">
        <v>137</v>
      </c>
      <c r="D151" s="9" t="s">
        <v>11</v>
      </c>
      <c r="E151" s="22">
        <f>35814+12386+81379.91</f>
        <v>129579.91</v>
      </c>
      <c r="F151" s="22">
        <f>30949+88655</f>
        <v>119604</v>
      </c>
      <c r="G151" s="22">
        <f>32420+88655</f>
        <v>121075</v>
      </c>
    </row>
    <row r="152" spans="1:7" ht="36">
      <c r="A152" s="10" t="s">
        <v>33</v>
      </c>
      <c r="B152" s="9" t="s">
        <v>56</v>
      </c>
      <c r="C152" s="9" t="s">
        <v>137</v>
      </c>
      <c r="D152" s="9" t="s">
        <v>34</v>
      </c>
      <c r="E152" s="22">
        <f>10855.96-966-9439.68</f>
        <v>450.27999999999884</v>
      </c>
      <c r="F152" s="22"/>
      <c r="G152" s="22"/>
    </row>
    <row r="153" spans="1:7" ht="72">
      <c r="A153" s="10" t="s">
        <v>27</v>
      </c>
      <c r="B153" s="9" t="s">
        <v>56</v>
      </c>
      <c r="C153" s="9" t="s">
        <v>137</v>
      </c>
      <c r="D153" s="9" t="s">
        <v>28</v>
      </c>
      <c r="E153" s="22">
        <f>8865500+3396+3500-2457400+30000-1710287.62</f>
        <v>4734708.38</v>
      </c>
      <c r="F153" s="22">
        <f>7662200-7662200</f>
        <v>0</v>
      </c>
      <c r="G153" s="22">
        <f>8026100-8026100</f>
        <v>0</v>
      </c>
    </row>
    <row r="154" spans="1:7" ht="18">
      <c r="A154" s="10" t="s">
        <v>13</v>
      </c>
      <c r="B154" s="9" t="s">
        <v>56</v>
      </c>
      <c r="C154" s="9" t="s">
        <v>137</v>
      </c>
      <c r="D154" s="9" t="s">
        <v>14</v>
      </c>
      <c r="E154" s="22">
        <f>3674.33</f>
        <v>3674.33</v>
      </c>
      <c r="F154" s="22"/>
      <c r="G154" s="22"/>
    </row>
    <row r="155" spans="1:7" ht="17.25">
      <c r="A155" s="11" t="s">
        <v>57</v>
      </c>
      <c r="B155" s="8" t="s">
        <v>58</v>
      </c>
      <c r="C155" s="8" t="s">
        <v>0</v>
      </c>
      <c r="D155" s="8" t="s">
        <v>0</v>
      </c>
      <c r="E155" s="21">
        <f>E156+E182+E184+E179</f>
        <v>173282885.64</v>
      </c>
      <c r="F155" s="21">
        <f>F156+F182+F184+F179</f>
        <v>152781899.75</v>
      </c>
      <c r="G155" s="21">
        <f>G156+G182+G184+G179</f>
        <v>153899771.96</v>
      </c>
    </row>
    <row r="156" spans="1:7" ht="95.25" customHeight="1">
      <c r="A156" s="11" t="s">
        <v>186</v>
      </c>
      <c r="B156" s="8" t="s">
        <v>58</v>
      </c>
      <c r="C156" s="8" t="s">
        <v>141</v>
      </c>
      <c r="D156" s="8" t="s">
        <v>0</v>
      </c>
      <c r="E156" s="21">
        <f>E157+E160+E164+E167+E170+E173+E176</f>
        <v>57962462.64</v>
      </c>
      <c r="F156" s="21">
        <f>F157+F160+F164+F167+F170+F173+F176</f>
        <v>43838020.75</v>
      </c>
      <c r="G156" s="21">
        <f>G157+G160+G164+G167+G170+G173+G176</f>
        <v>38567692.96</v>
      </c>
    </row>
    <row r="157" spans="1:7" ht="34.5" hidden="1">
      <c r="A157" s="17" t="s">
        <v>105</v>
      </c>
      <c r="B157" s="8" t="s">
        <v>58</v>
      </c>
      <c r="C157" s="8" t="s">
        <v>111</v>
      </c>
      <c r="D157" s="8"/>
      <c r="E157" s="21">
        <f>SUM(E158:E159)</f>
        <v>0</v>
      </c>
      <c r="F157" s="21">
        <f>SUM(F158:F159)</f>
        <v>0</v>
      </c>
      <c r="G157" s="21">
        <f>SUM(G158:G159)</f>
        <v>0</v>
      </c>
    </row>
    <row r="158" spans="1:7" ht="54" hidden="1">
      <c r="A158" s="10" t="s">
        <v>10</v>
      </c>
      <c r="B158" s="9" t="s">
        <v>58</v>
      </c>
      <c r="C158" s="9" t="s">
        <v>111</v>
      </c>
      <c r="D158" s="9" t="s">
        <v>11</v>
      </c>
      <c r="E158" s="21"/>
      <c r="F158" s="21"/>
      <c r="G158" s="21"/>
    </row>
    <row r="159" spans="1:7" ht="72" hidden="1">
      <c r="A159" s="10" t="s">
        <v>27</v>
      </c>
      <c r="B159" s="9" t="s">
        <v>58</v>
      </c>
      <c r="C159" s="9" t="s">
        <v>111</v>
      </c>
      <c r="D159" s="9" t="s">
        <v>28</v>
      </c>
      <c r="E159" s="21"/>
      <c r="F159" s="21"/>
      <c r="G159" s="21"/>
    </row>
    <row r="160" spans="1:7" ht="81" customHeight="1">
      <c r="A160" s="28" t="s">
        <v>194</v>
      </c>
      <c r="B160" s="8" t="s">
        <v>58</v>
      </c>
      <c r="C160" s="8" t="s">
        <v>192</v>
      </c>
      <c r="D160" s="8"/>
      <c r="E160" s="21">
        <f>SUM(E161:E162)+E163</f>
        <v>38170228.2</v>
      </c>
      <c r="F160" s="21">
        <f>SUM(F161:F162)+F163</f>
        <v>23168404</v>
      </c>
      <c r="G160" s="21">
        <f>SUM(G161:G162)+G163</f>
        <v>26596365</v>
      </c>
    </row>
    <row r="161" spans="1:7" ht="133.5" customHeight="1">
      <c r="A161" s="10" t="s">
        <v>6</v>
      </c>
      <c r="B161" s="9" t="s">
        <v>58</v>
      </c>
      <c r="C161" s="9" t="s">
        <v>193</v>
      </c>
      <c r="D161" s="9" t="s">
        <v>7</v>
      </c>
      <c r="E161" s="22">
        <f>158525+47875+11405500+819224+20+224039.14+70000-124115.33+549791.76+32000-623554.55+46500</f>
        <v>12605805.02</v>
      </c>
      <c r="F161" s="22">
        <f>164977+49823+11405500+819224+20</f>
        <v>12439544</v>
      </c>
      <c r="G161" s="22">
        <f>171966+51934+819224+11405520</f>
        <v>12448644</v>
      </c>
    </row>
    <row r="162" spans="1:7" ht="52.5" customHeight="1">
      <c r="A162" s="10" t="s">
        <v>10</v>
      </c>
      <c r="B162" s="9" t="s">
        <v>58</v>
      </c>
      <c r="C162" s="9" t="s">
        <v>192</v>
      </c>
      <c r="D162" s="9" t="s">
        <v>11</v>
      </c>
      <c r="E162" s="22">
        <f>16511055+7640964-6586+6000+74000-13500+197186+77488-1218923+251663.18+188600+1736476+120000</f>
        <v>25564423.18</v>
      </c>
      <c r="F162" s="22">
        <f>14112606-3383746</f>
        <v>10728860</v>
      </c>
      <c r="G162" s="22">
        <f>14147721</f>
        <v>14147721</v>
      </c>
    </row>
    <row r="163" spans="1:7" ht="36" hidden="1">
      <c r="A163" s="10" t="s">
        <v>33</v>
      </c>
      <c r="B163" s="9" t="s">
        <v>58</v>
      </c>
      <c r="C163" s="9" t="s">
        <v>192</v>
      </c>
      <c r="D163" s="9" t="s">
        <v>34</v>
      </c>
      <c r="E163" s="22">
        <f>46500-46500</f>
        <v>0</v>
      </c>
      <c r="F163" s="22"/>
      <c r="G163" s="22"/>
    </row>
    <row r="164" spans="1:7" ht="68.25" customHeight="1">
      <c r="A164" s="28" t="s">
        <v>195</v>
      </c>
      <c r="B164" s="8" t="s">
        <v>58</v>
      </c>
      <c r="C164" s="8" t="s">
        <v>158</v>
      </c>
      <c r="D164" s="8"/>
      <c r="E164" s="21">
        <f>SUM(E165:E166)</f>
        <v>19792234.44</v>
      </c>
      <c r="F164" s="21">
        <f>SUM(F165:F166)</f>
        <v>20669616.75</v>
      </c>
      <c r="G164" s="21">
        <f>SUM(G165:G166)</f>
        <v>11971327.96</v>
      </c>
    </row>
    <row r="165" spans="1:7" ht="54">
      <c r="A165" s="10" t="s">
        <v>10</v>
      </c>
      <c r="B165" s="9" t="s">
        <v>58</v>
      </c>
      <c r="C165" s="9" t="s">
        <v>158</v>
      </c>
      <c r="D165" s="9" t="s">
        <v>11</v>
      </c>
      <c r="E165" s="22">
        <f>5702300+1000000+1000000+5000000+2971428-55321.2+917000-1051102.8+1656574+1500000+15000-10903.38+1218923-251663.18+180000-65290.51</f>
        <v>19726943.93</v>
      </c>
      <c r="F165" s="22">
        <f>6034300+5400000+1000000+5000000-148429.25+3383746</f>
        <v>20669616.75</v>
      </c>
      <c r="G165" s="22">
        <f>844800+1000000+5000000+5126527.96</f>
        <v>11971327.96</v>
      </c>
    </row>
    <row r="166" spans="1:7" ht="42" customHeight="1">
      <c r="A166" s="10" t="s">
        <v>33</v>
      </c>
      <c r="B166" s="9" t="s">
        <v>58</v>
      </c>
      <c r="C166" s="9" t="s">
        <v>158</v>
      </c>
      <c r="D166" s="9" t="s">
        <v>34</v>
      </c>
      <c r="E166" s="22">
        <f>65290.51</f>
        <v>65290.51</v>
      </c>
      <c r="F166" s="21"/>
      <c r="G166" s="21"/>
    </row>
    <row r="167" spans="1:7" ht="0.75" customHeight="1" hidden="1">
      <c r="A167" s="26"/>
      <c r="B167" s="8" t="s">
        <v>58</v>
      </c>
      <c r="C167" s="8" t="s">
        <v>200</v>
      </c>
      <c r="D167" s="8"/>
      <c r="E167" s="21">
        <f>SUM(E168:E169)</f>
        <v>0</v>
      </c>
      <c r="F167" s="21">
        <f>SUM(F168:F169)</f>
        <v>0</v>
      </c>
      <c r="G167" s="21">
        <f>SUM(G168:G169)</f>
        <v>0</v>
      </c>
    </row>
    <row r="168" spans="1:7" ht="54" hidden="1">
      <c r="A168" s="10" t="s">
        <v>10</v>
      </c>
      <c r="B168" s="9" t="s">
        <v>58</v>
      </c>
      <c r="C168" s="9" t="s">
        <v>200</v>
      </c>
      <c r="D168" s="9" t="s">
        <v>11</v>
      </c>
      <c r="E168" s="22"/>
      <c r="F168" s="22"/>
      <c r="G168" s="22"/>
    </row>
    <row r="169" spans="1:7" ht="72" hidden="1">
      <c r="A169" s="10" t="s">
        <v>27</v>
      </c>
      <c r="B169" s="9" t="s">
        <v>58</v>
      </c>
      <c r="C169" s="9" t="s">
        <v>113</v>
      </c>
      <c r="D169" s="9" t="s">
        <v>28</v>
      </c>
      <c r="E169" s="22"/>
      <c r="F169" s="22"/>
      <c r="G169" s="22"/>
    </row>
    <row r="170" spans="1:7" ht="69" hidden="1">
      <c r="A170" s="17" t="s">
        <v>108</v>
      </c>
      <c r="B170" s="8" t="s">
        <v>58</v>
      </c>
      <c r="C170" s="8" t="s">
        <v>114</v>
      </c>
      <c r="D170" s="8"/>
      <c r="E170" s="21">
        <f>SUM(E171:E172)</f>
        <v>0</v>
      </c>
      <c r="F170" s="21">
        <f>SUM(F171:F172)</f>
        <v>0</v>
      </c>
      <c r="G170" s="21">
        <f>SUM(G171:G172)</f>
        <v>0</v>
      </c>
    </row>
    <row r="171" spans="1:7" ht="54" hidden="1">
      <c r="A171" s="10" t="s">
        <v>10</v>
      </c>
      <c r="B171" s="9" t="s">
        <v>58</v>
      </c>
      <c r="C171" s="9" t="s">
        <v>114</v>
      </c>
      <c r="D171" s="9" t="s">
        <v>11</v>
      </c>
      <c r="E171" s="21"/>
      <c r="F171" s="21"/>
      <c r="G171" s="21"/>
    </row>
    <row r="172" spans="1:7" ht="72" hidden="1">
      <c r="A172" s="10" t="s">
        <v>27</v>
      </c>
      <c r="B172" s="9" t="s">
        <v>58</v>
      </c>
      <c r="C172" s="9" t="s">
        <v>114</v>
      </c>
      <c r="D172" s="9" t="s">
        <v>28</v>
      </c>
      <c r="E172" s="21"/>
      <c r="F172" s="21"/>
      <c r="G172" s="21"/>
    </row>
    <row r="173" spans="1:7" ht="51.75" hidden="1">
      <c r="A173" s="17" t="s">
        <v>109</v>
      </c>
      <c r="B173" s="8" t="s">
        <v>58</v>
      </c>
      <c r="C173" s="8" t="s">
        <v>115</v>
      </c>
      <c r="D173" s="8"/>
      <c r="E173" s="21">
        <f>SUM(E174:E175)</f>
        <v>0</v>
      </c>
      <c r="F173" s="21">
        <f>SUM(F174:F175)</f>
        <v>0</v>
      </c>
      <c r="G173" s="21">
        <f>SUM(G174:G175)</f>
        <v>0</v>
      </c>
    </row>
    <row r="174" spans="1:7" ht="54" hidden="1">
      <c r="A174" s="10" t="s">
        <v>10</v>
      </c>
      <c r="B174" s="9" t="s">
        <v>58</v>
      </c>
      <c r="C174" s="9" t="s">
        <v>115</v>
      </c>
      <c r="D174" s="9" t="s">
        <v>11</v>
      </c>
      <c r="E174" s="21"/>
      <c r="F174" s="21"/>
      <c r="G174" s="21"/>
    </row>
    <row r="175" spans="1:7" ht="72" hidden="1">
      <c r="A175" s="10" t="s">
        <v>27</v>
      </c>
      <c r="B175" s="9" t="s">
        <v>58</v>
      </c>
      <c r="C175" s="9" t="s">
        <v>115</v>
      </c>
      <c r="D175" s="9" t="s">
        <v>28</v>
      </c>
      <c r="E175" s="21"/>
      <c r="F175" s="21"/>
      <c r="G175" s="21"/>
    </row>
    <row r="176" spans="1:7" ht="0" customHeight="1" hidden="1">
      <c r="A176" s="17" t="s">
        <v>110</v>
      </c>
      <c r="B176" s="8" t="s">
        <v>58</v>
      </c>
      <c r="C176" s="8" t="s">
        <v>116</v>
      </c>
      <c r="D176" s="8"/>
      <c r="E176" s="21">
        <f>SUM(E177:E178)</f>
        <v>0</v>
      </c>
      <c r="F176" s="21">
        <f>SUM(F177:F178)</f>
        <v>0</v>
      </c>
      <c r="G176" s="21">
        <f>SUM(G177:G178)</f>
        <v>0</v>
      </c>
    </row>
    <row r="177" spans="1:7" ht="54" hidden="1">
      <c r="A177" s="10" t="s">
        <v>10</v>
      </c>
      <c r="B177" s="9" t="s">
        <v>58</v>
      </c>
      <c r="C177" s="9" t="s">
        <v>116</v>
      </c>
      <c r="D177" s="9" t="s">
        <v>11</v>
      </c>
      <c r="E177" s="21"/>
      <c r="F177" s="21"/>
      <c r="G177" s="21"/>
    </row>
    <row r="178" spans="1:7" ht="72" hidden="1">
      <c r="A178" s="10" t="s">
        <v>27</v>
      </c>
      <c r="B178" s="9" t="s">
        <v>58</v>
      </c>
      <c r="C178" s="9" t="s">
        <v>116</v>
      </c>
      <c r="D178" s="9" t="s">
        <v>28</v>
      </c>
      <c r="E178" s="21"/>
      <c r="F178" s="21"/>
      <c r="G178" s="21"/>
    </row>
    <row r="179" spans="1:7" ht="87" hidden="1">
      <c r="A179" s="11" t="s">
        <v>159</v>
      </c>
      <c r="B179" s="8" t="s">
        <v>58</v>
      </c>
      <c r="C179" s="8" t="s">
        <v>165</v>
      </c>
      <c r="D179" s="8"/>
      <c r="E179" s="21">
        <f>E180</f>
        <v>0</v>
      </c>
      <c r="F179" s="21">
        <f>F180</f>
        <v>0</v>
      </c>
      <c r="G179" s="21">
        <f>G180</f>
        <v>0</v>
      </c>
    </row>
    <row r="180" spans="1:7" ht="1.5" customHeight="1" hidden="1">
      <c r="A180" s="10" t="s">
        <v>27</v>
      </c>
      <c r="B180" s="9" t="s">
        <v>58</v>
      </c>
      <c r="C180" s="9" t="s">
        <v>165</v>
      </c>
      <c r="D180" s="9" t="s">
        <v>28</v>
      </c>
      <c r="E180" s="22"/>
      <c r="F180" s="22"/>
      <c r="G180" s="22"/>
    </row>
    <row r="181" spans="1:7" ht="18" hidden="1">
      <c r="A181" s="10"/>
      <c r="B181" s="9"/>
      <c r="C181" s="9"/>
      <c r="D181" s="9"/>
      <c r="E181" s="21"/>
      <c r="F181" s="21"/>
      <c r="G181" s="21"/>
    </row>
    <row r="182" spans="1:7" ht="121.5" hidden="1">
      <c r="A182" s="17" t="s">
        <v>117</v>
      </c>
      <c r="B182" s="8" t="s">
        <v>58</v>
      </c>
      <c r="C182" s="8" t="s">
        <v>62</v>
      </c>
      <c r="D182" s="9"/>
      <c r="E182" s="21">
        <f>E183</f>
        <v>0</v>
      </c>
      <c r="F182" s="21">
        <f>F183</f>
        <v>0</v>
      </c>
      <c r="G182" s="21">
        <f>G183</f>
        <v>0</v>
      </c>
    </row>
    <row r="183" spans="1:7" ht="72" hidden="1">
      <c r="A183" s="10" t="s">
        <v>31</v>
      </c>
      <c r="B183" s="9" t="s">
        <v>58</v>
      </c>
      <c r="C183" s="9" t="s">
        <v>62</v>
      </c>
      <c r="D183" s="9" t="s">
        <v>32</v>
      </c>
      <c r="E183" s="22"/>
      <c r="F183" s="22"/>
      <c r="G183" s="22"/>
    </row>
    <row r="184" spans="1:7" ht="76.5" customHeight="1">
      <c r="A184" s="11" t="s">
        <v>103</v>
      </c>
      <c r="B184" s="8" t="s">
        <v>58</v>
      </c>
      <c r="C184" s="8" t="s">
        <v>137</v>
      </c>
      <c r="D184" s="8" t="s">
        <v>0</v>
      </c>
      <c r="E184" s="21">
        <f>SUM(E185:E189)</f>
        <v>115320423</v>
      </c>
      <c r="F184" s="21">
        <f>SUM(F185:F189)</f>
        <v>108943879</v>
      </c>
      <c r="G184" s="21">
        <f>SUM(G185:G189)</f>
        <v>115332079</v>
      </c>
    </row>
    <row r="185" spans="1:7" ht="144">
      <c r="A185" s="10" t="s">
        <v>6</v>
      </c>
      <c r="B185" s="9" t="s">
        <v>58</v>
      </c>
      <c r="C185" s="9" t="s">
        <v>137</v>
      </c>
      <c r="D185" s="9" t="s">
        <v>7</v>
      </c>
      <c r="E185" s="22">
        <f>69550258+21004178+600+19616870+5924294-748400-8594600</f>
        <v>106753200</v>
      </c>
      <c r="F185" s="22">
        <f>60285600+18206251+17003724+5135125</f>
        <v>100630700</v>
      </c>
      <c r="G185" s="22">
        <f>63992900+19325856+18049266+5450878</f>
        <v>106818900</v>
      </c>
    </row>
    <row r="186" spans="1:7" ht="53.25" customHeight="1">
      <c r="A186" s="10" t="s">
        <v>10</v>
      </c>
      <c r="B186" s="9" t="s">
        <v>58</v>
      </c>
      <c r="C186" s="9" t="s">
        <v>137</v>
      </c>
      <c r="D186" s="9" t="s">
        <v>11</v>
      </c>
      <c r="E186" s="22">
        <f>4438400+239500+2285000+1066100+748400-197419-560981</f>
        <v>8019000</v>
      </c>
      <c r="F186" s="22">
        <f>4695500+239500+2860500</f>
        <v>7795500</v>
      </c>
      <c r="G186" s="22">
        <f>4695500+239500+3060500</f>
        <v>7995500</v>
      </c>
    </row>
    <row r="187" spans="1:7" ht="36" hidden="1">
      <c r="A187" s="10" t="s">
        <v>33</v>
      </c>
      <c r="B187" s="9" t="s">
        <v>58</v>
      </c>
      <c r="C187" s="9" t="s">
        <v>12</v>
      </c>
      <c r="D187" s="9" t="s">
        <v>34</v>
      </c>
      <c r="E187" s="22"/>
      <c r="F187" s="22"/>
      <c r="G187" s="22"/>
    </row>
    <row r="188" spans="1:7" ht="72" hidden="1">
      <c r="A188" s="10" t="s">
        <v>27</v>
      </c>
      <c r="B188" s="9" t="s">
        <v>58</v>
      </c>
      <c r="C188" s="9" t="s">
        <v>137</v>
      </c>
      <c r="D188" s="9" t="s">
        <v>28</v>
      </c>
      <c r="E188" s="22"/>
      <c r="F188" s="22"/>
      <c r="G188" s="22"/>
    </row>
    <row r="189" spans="1:7" ht="24" customHeight="1">
      <c r="A189" s="10" t="s">
        <v>13</v>
      </c>
      <c r="B189" s="9" t="s">
        <v>58</v>
      </c>
      <c r="C189" s="9" t="s">
        <v>137</v>
      </c>
      <c r="D189" s="9" t="s">
        <v>14</v>
      </c>
      <c r="E189" s="22">
        <f>517679+60544-30000</f>
        <v>548223</v>
      </c>
      <c r="F189" s="22">
        <f>517679</f>
        <v>517679</v>
      </c>
      <c r="G189" s="22">
        <f>517679</f>
        <v>517679</v>
      </c>
    </row>
    <row r="190" spans="1:7" ht="40.5" customHeight="1">
      <c r="A190" s="11" t="s">
        <v>169</v>
      </c>
      <c r="B190" s="8" t="s">
        <v>168</v>
      </c>
      <c r="C190" s="9"/>
      <c r="D190" s="9"/>
      <c r="E190" s="21">
        <f>E191+E202+E206</f>
        <v>15830725.32</v>
      </c>
      <c r="F190" s="21">
        <f>F191+F202+F206</f>
        <v>16579482</v>
      </c>
      <c r="G190" s="21">
        <f>G191+G202+G206</f>
        <v>16579482</v>
      </c>
    </row>
    <row r="191" spans="1:7" ht="99" customHeight="1">
      <c r="A191" s="11" t="s">
        <v>186</v>
      </c>
      <c r="B191" s="8" t="s">
        <v>168</v>
      </c>
      <c r="C191" s="8" t="s">
        <v>156</v>
      </c>
      <c r="D191" s="9"/>
      <c r="E191" s="21">
        <f>E195+E192+E199</f>
        <v>5141388.36</v>
      </c>
      <c r="F191" s="21">
        <f>F195+F192+F199</f>
        <v>4439724</v>
      </c>
      <c r="G191" s="21">
        <f>G195+G192+G199</f>
        <v>4439724</v>
      </c>
    </row>
    <row r="192" spans="1:7" ht="99" customHeight="1">
      <c r="A192" s="28" t="s">
        <v>194</v>
      </c>
      <c r="B192" s="8" t="s">
        <v>168</v>
      </c>
      <c r="C192" s="8" t="s">
        <v>192</v>
      </c>
      <c r="D192" s="8"/>
      <c r="E192" s="21">
        <f>SUM(E193:E194)</f>
        <v>3853055</v>
      </c>
      <c r="F192" s="21">
        <f>SUM(F193:F194)</f>
        <v>2796590</v>
      </c>
      <c r="G192" s="21">
        <f>SUM(G193:G194)</f>
        <v>2796590</v>
      </c>
    </row>
    <row r="193" spans="1:7" ht="129" customHeight="1">
      <c r="A193" s="10" t="s">
        <v>6</v>
      </c>
      <c r="B193" s="9" t="s">
        <v>168</v>
      </c>
      <c r="C193" s="9" t="s">
        <v>193</v>
      </c>
      <c r="D193" s="9" t="s">
        <v>7</v>
      </c>
      <c r="E193" s="22">
        <f>2667592+326802</f>
        <v>2994394</v>
      </c>
      <c r="F193" s="22">
        <f>2750094</f>
        <v>2750094</v>
      </c>
      <c r="G193" s="22">
        <f>2750094</f>
        <v>2750094</v>
      </c>
    </row>
    <row r="194" spans="1:7" ht="99" customHeight="1">
      <c r="A194" s="10" t="s">
        <v>10</v>
      </c>
      <c r="B194" s="9" t="s">
        <v>168</v>
      </c>
      <c r="C194" s="9" t="s">
        <v>192</v>
      </c>
      <c r="D194" s="9" t="s">
        <v>11</v>
      </c>
      <c r="E194" s="22">
        <f>66581+755080+6586-6586+37000</f>
        <v>858661</v>
      </c>
      <c r="F194" s="22">
        <f>46496</f>
        <v>46496</v>
      </c>
      <c r="G194" s="22">
        <f>46496</f>
        <v>46496</v>
      </c>
    </row>
    <row r="195" spans="1:7" ht="61.5" customHeight="1">
      <c r="A195" s="11" t="s">
        <v>195</v>
      </c>
      <c r="B195" s="8" t="s">
        <v>168</v>
      </c>
      <c r="C195" s="8" t="s">
        <v>157</v>
      </c>
      <c r="D195" s="9"/>
      <c r="E195" s="21">
        <f>E196+E197+E198</f>
        <v>632467</v>
      </c>
      <c r="F195" s="21">
        <f>F196+F197+F198</f>
        <v>566600</v>
      </c>
      <c r="G195" s="21">
        <f>G196+G197+G198</f>
        <v>566600</v>
      </c>
    </row>
    <row r="196" spans="1:7" ht="144">
      <c r="A196" s="10" t="s">
        <v>6</v>
      </c>
      <c r="B196" s="9" t="s">
        <v>168</v>
      </c>
      <c r="C196" s="9" t="s">
        <v>157</v>
      </c>
      <c r="D196" s="9" t="s">
        <v>7</v>
      </c>
      <c r="E196" s="22">
        <f>300108+90633+50793+58816-50793+16249.72</f>
        <v>465806.72</v>
      </c>
      <c r="F196" s="22">
        <f>300108+90633+65236</f>
        <v>455977</v>
      </c>
      <c r="G196" s="22">
        <f>300108+90633+65236</f>
        <v>455977</v>
      </c>
    </row>
    <row r="197" spans="1:7" ht="53.25" customHeight="1">
      <c r="A197" s="10" t="s">
        <v>10</v>
      </c>
      <c r="B197" s="9" t="s">
        <v>168</v>
      </c>
      <c r="C197" s="9" t="s">
        <v>157</v>
      </c>
      <c r="D197" s="9" t="s">
        <v>11</v>
      </c>
      <c r="E197" s="22">
        <f>110623-71059+65867+39564</f>
        <v>144995</v>
      </c>
      <c r="F197" s="22">
        <f>110623</f>
        <v>110623</v>
      </c>
      <c r="G197" s="22">
        <f>110623</f>
        <v>110623</v>
      </c>
    </row>
    <row r="198" spans="1:7" ht="72">
      <c r="A198" s="10" t="s">
        <v>27</v>
      </c>
      <c r="B198" s="9" t="s">
        <v>168</v>
      </c>
      <c r="C198" s="9" t="s">
        <v>157</v>
      </c>
      <c r="D198" s="9" t="s">
        <v>28</v>
      </c>
      <c r="E198" s="22">
        <f>65236+15074+12243-15074-55813.72</f>
        <v>21665.28</v>
      </c>
      <c r="F198" s="22">
        <f>65236-65236</f>
        <v>0</v>
      </c>
      <c r="G198" s="22">
        <f>65236-65236</f>
        <v>0</v>
      </c>
    </row>
    <row r="199" spans="1:7" ht="87">
      <c r="A199" s="27" t="s">
        <v>201</v>
      </c>
      <c r="B199" s="8" t="s">
        <v>168</v>
      </c>
      <c r="C199" s="8" t="s">
        <v>202</v>
      </c>
      <c r="D199" s="9"/>
      <c r="E199" s="21">
        <f>SUM(E200:E201)</f>
        <v>655866.36</v>
      </c>
      <c r="F199" s="21">
        <f>SUM(F200:F201)</f>
        <v>1076534</v>
      </c>
      <c r="G199" s="21">
        <f>SUM(G200:G201)</f>
        <v>1076534</v>
      </c>
    </row>
    <row r="200" spans="1:7" ht="144">
      <c r="A200" s="10" t="s">
        <v>6</v>
      </c>
      <c r="B200" s="9" t="s">
        <v>168</v>
      </c>
      <c r="C200" s="9" t="s">
        <v>202</v>
      </c>
      <c r="D200" s="9" t="s">
        <v>7</v>
      </c>
      <c r="E200" s="22">
        <f>1059534-326802-93865.64</f>
        <v>638866.36</v>
      </c>
      <c r="F200" s="22">
        <f>1059534</f>
        <v>1059534</v>
      </c>
      <c r="G200" s="22">
        <f>1059534</f>
        <v>1059534</v>
      </c>
    </row>
    <row r="201" spans="1:7" ht="54">
      <c r="A201" s="10" t="s">
        <v>10</v>
      </c>
      <c r="B201" s="9" t="s">
        <v>168</v>
      </c>
      <c r="C201" s="9" t="s">
        <v>202</v>
      </c>
      <c r="D201" s="9" t="s">
        <v>11</v>
      </c>
      <c r="E201" s="22">
        <f>17000</f>
        <v>17000</v>
      </c>
      <c r="F201" s="22">
        <f>17000</f>
        <v>17000</v>
      </c>
      <c r="G201" s="22">
        <f>17000</f>
        <v>17000</v>
      </c>
    </row>
    <row r="202" spans="1:7" ht="111" customHeight="1">
      <c r="A202" s="27" t="s">
        <v>187</v>
      </c>
      <c r="B202" s="8" t="s">
        <v>168</v>
      </c>
      <c r="C202" s="8" t="s">
        <v>165</v>
      </c>
      <c r="D202" s="8"/>
      <c r="E202" s="21">
        <f>E205+E203+E204</f>
        <v>9997957.01</v>
      </c>
      <c r="F202" s="21">
        <f>F205+F203+F204</f>
        <v>10816020</v>
      </c>
      <c r="G202" s="21">
        <f>G205+G203+G204</f>
        <v>10816020</v>
      </c>
    </row>
    <row r="203" spans="1:7" ht="111" customHeight="1">
      <c r="A203" s="10" t="s">
        <v>6</v>
      </c>
      <c r="B203" s="9" t="s">
        <v>168</v>
      </c>
      <c r="C203" s="9" t="s">
        <v>165</v>
      </c>
      <c r="D203" s="9" t="s">
        <v>7</v>
      </c>
      <c r="E203" s="22">
        <f>1736769</f>
        <v>1736769</v>
      </c>
      <c r="F203" s="22">
        <f>10326837</f>
        <v>10326837</v>
      </c>
      <c r="G203" s="22">
        <f>10326837</f>
        <v>10326837</v>
      </c>
    </row>
    <row r="204" spans="1:7" ht="63" customHeight="1">
      <c r="A204" s="10" t="s">
        <v>10</v>
      </c>
      <c r="B204" s="9" t="s">
        <v>168</v>
      </c>
      <c r="C204" s="9" t="s">
        <v>165</v>
      </c>
      <c r="D204" s="9" t="s">
        <v>11</v>
      </c>
      <c r="E204" s="22">
        <f>247593.51+126595.18</f>
        <v>374188.69</v>
      </c>
      <c r="F204" s="22">
        <f>489183</f>
        <v>489183</v>
      </c>
      <c r="G204" s="22">
        <f>489183</f>
        <v>489183</v>
      </c>
    </row>
    <row r="205" spans="1:7" ht="72">
      <c r="A205" s="10" t="s">
        <v>27</v>
      </c>
      <c r="B205" s="9" t="s">
        <v>168</v>
      </c>
      <c r="C205" s="9" t="s">
        <v>165</v>
      </c>
      <c r="D205" s="9" t="s">
        <v>28</v>
      </c>
      <c r="E205" s="22">
        <f>10557992+116888+13500-791654.41-2009726.27</f>
        <v>7886999.32</v>
      </c>
      <c r="F205" s="22">
        <f>10842166-10842166</f>
        <v>0</v>
      </c>
      <c r="G205" s="22">
        <f>10842166-10842166</f>
        <v>0</v>
      </c>
    </row>
    <row r="206" spans="1:7" ht="75" customHeight="1">
      <c r="A206" s="11" t="s">
        <v>103</v>
      </c>
      <c r="B206" s="8" t="s">
        <v>168</v>
      </c>
      <c r="C206" s="8" t="s">
        <v>151</v>
      </c>
      <c r="D206" s="9"/>
      <c r="E206" s="21">
        <f>E207+E208+E209+E210</f>
        <v>691379.95</v>
      </c>
      <c r="F206" s="21">
        <f>F207+F208+F209+F210</f>
        <v>1323738</v>
      </c>
      <c r="G206" s="21">
        <f>G207+G208+G209+G210</f>
        <v>1323738</v>
      </c>
    </row>
    <row r="207" spans="1:7" ht="58.5" customHeight="1" hidden="1">
      <c r="A207" s="10" t="s">
        <v>6</v>
      </c>
      <c r="B207" s="9" t="s">
        <v>168</v>
      </c>
      <c r="C207" s="9" t="s">
        <v>151</v>
      </c>
      <c r="D207" s="9" t="s">
        <v>7</v>
      </c>
      <c r="E207" s="21"/>
      <c r="F207" s="22"/>
      <c r="G207" s="22"/>
    </row>
    <row r="208" spans="1:7" ht="58.5" customHeight="1" hidden="1">
      <c r="A208" s="10" t="s">
        <v>10</v>
      </c>
      <c r="B208" s="9" t="s">
        <v>168</v>
      </c>
      <c r="C208" s="9" t="s">
        <v>151</v>
      </c>
      <c r="D208" s="9" t="s">
        <v>11</v>
      </c>
      <c r="E208" s="21"/>
      <c r="F208" s="22"/>
      <c r="G208" s="22"/>
    </row>
    <row r="209" spans="1:7" ht="89.25" customHeight="1">
      <c r="A209" s="10" t="s">
        <v>27</v>
      </c>
      <c r="B209" s="9" t="s">
        <v>168</v>
      </c>
      <c r="C209" s="9" t="s">
        <v>151</v>
      </c>
      <c r="D209" s="9" t="s">
        <v>28</v>
      </c>
      <c r="E209" s="22">
        <f>1108830-331704-111271.81</f>
        <v>665854.19</v>
      </c>
      <c r="F209" s="22">
        <f>1108830</f>
        <v>1108830</v>
      </c>
      <c r="G209" s="22">
        <f>1108830</f>
        <v>1108830</v>
      </c>
    </row>
    <row r="210" spans="1:7" ht="24.75" customHeight="1">
      <c r="A210" s="10" t="s">
        <v>13</v>
      </c>
      <c r="B210" s="9" t="s">
        <v>168</v>
      </c>
      <c r="C210" s="9" t="s">
        <v>151</v>
      </c>
      <c r="D210" s="9" t="s">
        <v>14</v>
      </c>
      <c r="E210" s="22">
        <f>188762-188600+25363.76</f>
        <v>25525.76</v>
      </c>
      <c r="F210" s="22">
        <f>188762+26146</f>
        <v>214908</v>
      </c>
      <c r="G210" s="22">
        <f>188762+26146</f>
        <v>214908</v>
      </c>
    </row>
    <row r="211" spans="1:7" ht="62.25" customHeight="1">
      <c r="A211" s="17" t="s">
        <v>129</v>
      </c>
      <c r="B211" s="8" t="s">
        <v>128</v>
      </c>
      <c r="C211" s="8"/>
      <c r="D211" s="8"/>
      <c r="E211" s="21">
        <f aca="true" t="shared" si="5" ref="E211:G212">E212</f>
        <v>30000</v>
      </c>
      <c r="F211" s="21">
        <f t="shared" si="5"/>
        <v>0</v>
      </c>
      <c r="G211" s="21">
        <f t="shared" si="5"/>
        <v>0</v>
      </c>
    </row>
    <row r="212" spans="1:7" ht="114" customHeight="1">
      <c r="A212" s="17" t="s">
        <v>179</v>
      </c>
      <c r="B212" s="8" t="s">
        <v>128</v>
      </c>
      <c r="C212" s="8" t="s">
        <v>142</v>
      </c>
      <c r="D212" s="8"/>
      <c r="E212" s="21">
        <f t="shared" si="5"/>
        <v>30000</v>
      </c>
      <c r="F212" s="21">
        <f t="shared" si="5"/>
        <v>0</v>
      </c>
      <c r="G212" s="21">
        <f t="shared" si="5"/>
        <v>0</v>
      </c>
    </row>
    <row r="213" spans="1:7" ht="54">
      <c r="A213" s="10" t="s">
        <v>10</v>
      </c>
      <c r="B213" s="9" t="s">
        <v>128</v>
      </c>
      <c r="C213" s="9" t="s">
        <v>142</v>
      </c>
      <c r="D213" s="9" t="s">
        <v>11</v>
      </c>
      <c r="E213" s="22">
        <f>20000+10000</f>
        <v>30000</v>
      </c>
      <c r="F213" s="22"/>
      <c r="G213" s="22"/>
    </row>
    <row r="214" spans="1:7" ht="39.75" customHeight="1">
      <c r="A214" s="11" t="s">
        <v>59</v>
      </c>
      <c r="B214" s="8" t="s">
        <v>60</v>
      </c>
      <c r="C214" s="8" t="s">
        <v>0</v>
      </c>
      <c r="D214" s="8" t="s">
        <v>0</v>
      </c>
      <c r="E214" s="21">
        <f>E218+E224+E215+E222</f>
        <v>5382479.11</v>
      </c>
      <c r="F214" s="21">
        <f>F218+F224+F215</f>
        <v>5866584</v>
      </c>
      <c r="G214" s="21">
        <f>G218+G224+G215</f>
        <v>5903984</v>
      </c>
    </row>
    <row r="215" spans="1:7" ht="79.5" customHeight="1">
      <c r="A215" s="17" t="s">
        <v>186</v>
      </c>
      <c r="B215" s="8" t="s">
        <v>60</v>
      </c>
      <c r="C215" s="8" t="s">
        <v>141</v>
      </c>
      <c r="D215" s="8"/>
      <c r="E215" s="21">
        <f aca="true" t="shared" si="6" ref="E215:G216">E216</f>
        <v>1477000</v>
      </c>
      <c r="F215" s="21">
        <f t="shared" si="6"/>
        <v>946100</v>
      </c>
      <c r="G215" s="21">
        <f t="shared" si="6"/>
        <v>983500</v>
      </c>
    </row>
    <row r="216" spans="1:7" ht="59.25" customHeight="1">
      <c r="A216" s="17" t="s">
        <v>195</v>
      </c>
      <c r="B216" s="8" t="s">
        <v>60</v>
      </c>
      <c r="C216" s="8" t="s">
        <v>158</v>
      </c>
      <c r="D216" s="8"/>
      <c r="E216" s="21">
        <f t="shared" si="6"/>
        <v>1477000</v>
      </c>
      <c r="F216" s="21">
        <f t="shared" si="6"/>
        <v>946100</v>
      </c>
      <c r="G216" s="21">
        <f t="shared" si="6"/>
        <v>983500</v>
      </c>
    </row>
    <row r="217" spans="1:7" ht="54">
      <c r="A217" s="10" t="s">
        <v>10</v>
      </c>
      <c r="B217" s="9" t="s">
        <v>60</v>
      </c>
      <c r="C217" s="9" t="s">
        <v>158</v>
      </c>
      <c r="D217" s="9" t="s">
        <v>11</v>
      </c>
      <c r="E217" s="22">
        <f>1071000+119000+302400+33600-49000</f>
        <v>1477000</v>
      </c>
      <c r="F217" s="22">
        <f>946100</f>
        <v>946100</v>
      </c>
      <c r="G217" s="22">
        <f>983500</f>
        <v>983500</v>
      </c>
    </row>
    <row r="218" spans="1:7" ht="114" customHeight="1">
      <c r="A218" s="17" t="s">
        <v>188</v>
      </c>
      <c r="B218" s="8" t="s">
        <v>60</v>
      </c>
      <c r="C218" s="8" t="s">
        <v>143</v>
      </c>
      <c r="D218" s="8" t="s">
        <v>0</v>
      </c>
      <c r="E218" s="21">
        <f>SUM(E219:E221)</f>
        <v>3904679.1100000003</v>
      </c>
      <c r="F218" s="21">
        <f>SUM(F219:F221)</f>
        <v>4919684</v>
      </c>
      <c r="G218" s="21">
        <f>SUM(G219:G221)</f>
        <v>4919684</v>
      </c>
    </row>
    <row r="219" spans="1:7" ht="126" customHeight="1">
      <c r="A219" s="10" t="s">
        <v>6</v>
      </c>
      <c r="B219" s="9" t="s">
        <v>60</v>
      </c>
      <c r="C219" s="9" t="s">
        <v>143</v>
      </c>
      <c r="D219" s="9" t="s">
        <v>7</v>
      </c>
      <c r="E219" s="22">
        <f>2151+649+4279383+208190-58996-2684.67-1254445.22</f>
        <v>3174247.1100000003</v>
      </c>
      <c r="F219" s="22">
        <f>8602+2598+4411716</f>
        <v>4422916</v>
      </c>
      <c r="G219" s="22">
        <f>8602+2598+4411716</f>
        <v>4422916</v>
      </c>
    </row>
    <row r="220" spans="1:7" ht="59.25" customHeight="1">
      <c r="A220" s="10" t="s">
        <v>10</v>
      </c>
      <c r="B220" s="9" t="s">
        <v>60</v>
      </c>
      <c r="C220" s="9" t="s">
        <v>143</v>
      </c>
      <c r="D220" s="9" t="s">
        <v>11</v>
      </c>
      <c r="E220" s="22">
        <f>637436+58996+28000+6000</f>
        <v>730432</v>
      </c>
      <c r="F220" s="22">
        <f>496768</f>
        <v>496768</v>
      </c>
      <c r="G220" s="22">
        <f>496768</f>
        <v>496768</v>
      </c>
    </row>
    <row r="221" spans="1:7" ht="36" hidden="1">
      <c r="A221" s="10" t="s">
        <v>33</v>
      </c>
      <c r="B221" s="9" t="s">
        <v>60</v>
      </c>
      <c r="C221" s="9" t="s">
        <v>160</v>
      </c>
      <c r="D221" s="9" t="s">
        <v>34</v>
      </c>
      <c r="E221" s="22"/>
      <c r="F221" s="22"/>
      <c r="G221" s="22"/>
    </row>
    <row r="222" spans="1:7" ht="0.75" customHeight="1" hidden="1">
      <c r="A222" s="11" t="s">
        <v>153</v>
      </c>
      <c r="B222" s="8" t="s">
        <v>60</v>
      </c>
      <c r="C222" s="8" t="s">
        <v>154</v>
      </c>
      <c r="D222" s="8"/>
      <c r="E222" s="21">
        <f>E223</f>
        <v>0</v>
      </c>
      <c r="F222" s="21">
        <f>F223</f>
        <v>0</v>
      </c>
      <c r="G222" s="21">
        <f>G223</f>
        <v>0</v>
      </c>
    </row>
    <row r="223" spans="1:7" ht="54" hidden="1">
      <c r="A223" s="10" t="s">
        <v>10</v>
      </c>
      <c r="B223" s="9" t="s">
        <v>60</v>
      </c>
      <c r="C223" s="9" t="s">
        <v>154</v>
      </c>
      <c r="D223" s="9" t="s">
        <v>11</v>
      </c>
      <c r="E223" s="22"/>
      <c r="F223" s="22"/>
      <c r="G223" s="22"/>
    </row>
    <row r="224" spans="1:7" ht="72" customHeight="1">
      <c r="A224" s="11" t="s">
        <v>103</v>
      </c>
      <c r="B224" s="8" t="s">
        <v>60</v>
      </c>
      <c r="C224" s="8" t="s">
        <v>137</v>
      </c>
      <c r="D224" s="8" t="s">
        <v>0</v>
      </c>
      <c r="E224" s="21">
        <f>SUM(E225:E228)</f>
        <v>800</v>
      </c>
      <c r="F224" s="21">
        <f>SUM(F225:F228)</f>
        <v>800</v>
      </c>
      <c r="G224" s="21">
        <f>SUM(G225:G228)</f>
        <v>800</v>
      </c>
    </row>
    <row r="225" spans="1:7" ht="144" hidden="1">
      <c r="A225" s="10" t="s">
        <v>6</v>
      </c>
      <c r="B225" s="9" t="s">
        <v>60</v>
      </c>
      <c r="C225" s="9" t="s">
        <v>137</v>
      </c>
      <c r="D225" s="9" t="s">
        <v>7</v>
      </c>
      <c r="E225" s="22"/>
      <c r="F225" s="22"/>
      <c r="G225" s="22"/>
    </row>
    <row r="226" spans="1:7" ht="54" customHeight="1" hidden="1">
      <c r="A226" s="10" t="s">
        <v>10</v>
      </c>
      <c r="B226" s="9" t="s">
        <v>60</v>
      </c>
      <c r="C226" s="9" t="s">
        <v>137</v>
      </c>
      <c r="D226" s="9" t="s">
        <v>11</v>
      </c>
      <c r="E226" s="22"/>
      <c r="F226" s="22"/>
      <c r="G226" s="22"/>
    </row>
    <row r="227" spans="1:7" ht="31.5" customHeight="1" hidden="1">
      <c r="A227" s="10" t="s">
        <v>33</v>
      </c>
      <c r="B227" s="9" t="s">
        <v>60</v>
      </c>
      <c r="C227" s="9" t="s">
        <v>137</v>
      </c>
      <c r="D227" s="9" t="s">
        <v>34</v>
      </c>
      <c r="E227" s="22"/>
      <c r="F227" s="22"/>
      <c r="G227" s="22"/>
    </row>
    <row r="228" spans="1:7" ht="33.75" customHeight="1">
      <c r="A228" s="10" t="s">
        <v>13</v>
      </c>
      <c r="B228" s="9" t="s">
        <v>60</v>
      </c>
      <c r="C228" s="9" t="s">
        <v>137</v>
      </c>
      <c r="D228" s="9" t="s">
        <v>14</v>
      </c>
      <c r="E228" s="22">
        <f>800</f>
        <v>800</v>
      </c>
      <c r="F228" s="22">
        <f>800</f>
        <v>800</v>
      </c>
      <c r="G228" s="22">
        <f>800</f>
        <v>800</v>
      </c>
    </row>
    <row r="229" spans="1:7" ht="34.5">
      <c r="A229" s="11" t="s">
        <v>63</v>
      </c>
      <c r="B229" s="8" t="s">
        <v>64</v>
      </c>
      <c r="C229" s="8" t="s">
        <v>0</v>
      </c>
      <c r="D229" s="8" t="s">
        <v>0</v>
      </c>
      <c r="E229" s="21">
        <f>E233+E262+E230+E259+E253+E256</f>
        <v>12063843.36</v>
      </c>
      <c r="F229" s="21">
        <f>F233+F262+F230+F259+F253+F256</f>
        <v>8491832</v>
      </c>
      <c r="G229" s="21">
        <f>G233+G262+G230+G259+G253+G256</f>
        <v>8491832</v>
      </c>
    </row>
    <row r="230" spans="1:7" ht="147" customHeight="1">
      <c r="A230" s="11" t="s">
        <v>180</v>
      </c>
      <c r="B230" s="8" t="s">
        <v>64</v>
      </c>
      <c r="C230" s="8" t="s">
        <v>136</v>
      </c>
      <c r="D230" s="8"/>
      <c r="E230" s="21">
        <f>SUM(E231:E232)</f>
        <v>2643882.75</v>
      </c>
      <c r="F230" s="21">
        <f>SUM(F231:F232)</f>
        <v>2320245</v>
      </c>
      <c r="G230" s="21">
        <f>SUM(G231:G232)</f>
        <v>2320245</v>
      </c>
    </row>
    <row r="231" spans="1:7" ht="129" customHeight="1">
      <c r="A231" s="10" t="s">
        <v>6</v>
      </c>
      <c r="B231" s="9" t="s">
        <v>64</v>
      </c>
      <c r="C231" s="9" t="s">
        <v>136</v>
      </c>
      <c r="D231" s="9" t="s">
        <v>7</v>
      </c>
      <c r="E231" s="22">
        <f>2372834+191520.75</f>
        <v>2564354.75</v>
      </c>
      <c r="F231" s="22">
        <f>2286186</f>
        <v>2286186</v>
      </c>
      <c r="G231" s="22">
        <f>2286186</f>
        <v>2286186</v>
      </c>
    </row>
    <row r="232" spans="1:7" ht="54">
      <c r="A232" s="10" t="s">
        <v>10</v>
      </c>
      <c r="B232" s="9" t="s">
        <v>64</v>
      </c>
      <c r="C232" s="9" t="s">
        <v>136</v>
      </c>
      <c r="D232" s="9" t="s">
        <v>11</v>
      </c>
      <c r="E232" s="22">
        <f>67528+12000</f>
        <v>79528</v>
      </c>
      <c r="F232" s="22">
        <f>34059</f>
        <v>34059</v>
      </c>
      <c r="G232" s="22">
        <f>34059</f>
        <v>34059</v>
      </c>
    </row>
    <row r="233" spans="1:7" ht="93" customHeight="1">
      <c r="A233" s="11" t="s">
        <v>186</v>
      </c>
      <c r="B233" s="8" t="s">
        <v>64</v>
      </c>
      <c r="C233" s="8" t="s">
        <v>141</v>
      </c>
      <c r="D233" s="8" t="s">
        <v>0</v>
      </c>
      <c r="E233" s="21">
        <f>E234+E237+E240+E243+E247+E250</f>
        <v>3025796</v>
      </c>
      <c r="F233" s="21">
        <f>F234+F237+F240+F243+F247+F250</f>
        <v>0</v>
      </c>
      <c r="G233" s="21">
        <f>G234+G237+G240+G243+G247+G250</f>
        <v>0</v>
      </c>
    </row>
    <row r="234" spans="1:7" ht="0.75" customHeight="1" hidden="1">
      <c r="A234" s="17" t="s">
        <v>105</v>
      </c>
      <c r="B234" s="8" t="s">
        <v>64</v>
      </c>
      <c r="C234" s="8" t="s">
        <v>111</v>
      </c>
      <c r="D234" s="8"/>
      <c r="E234" s="21">
        <f>SUM(E235:E236)</f>
        <v>0</v>
      </c>
      <c r="F234" s="21">
        <f>SUM(F235:F236)</f>
        <v>0</v>
      </c>
      <c r="G234" s="21">
        <f>SUM(G235:G236)</f>
        <v>0</v>
      </c>
    </row>
    <row r="235" spans="1:7" ht="54" hidden="1">
      <c r="A235" s="10" t="s">
        <v>10</v>
      </c>
      <c r="B235" s="9" t="s">
        <v>64</v>
      </c>
      <c r="C235" s="9" t="s">
        <v>111</v>
      </c>
      <c r="D235" s="9" t="s">
        <v>11</v>
      </c>
      <c r="E235" s="21"/>
      <c r="F235" s="21"/>
      <c r="G235" s="21"/>
    </row>
    <row r="236" spans="1:7" ht="72" hidden="1">
      <c r="A236" s="10" t="s">
        <v>27</v>
      </c>
      <c r="B236" s="9" t="s">
        <v>64</v>
      </c>
      <c r="C236" s="9" t="s">
        <v>111</v>
      </c>
      <c r="D236" s="9" t="s">
        <v>28</v>
      </c>
      <c r="E236" s="21"/>
      <c r="F236" s="21"/>
      <c r="G236" s="21"/>
    </row>
    <row r="237" spans="1:7" ht="46.5" customHeight="1" hidden="1">
      <c r="A237" s="17" t="s">
        <v>106</v>
      </c>
      <c r="B237" s="8" t="s">
        <v>64</v>
      </c>
      <c r="C237" s="8" t="s">
        <v>41</v>
      </c>
      <c r="D237" s="8"/>
      <c r="E237" s="21">
        <f>SUM(E238:E239)</f>
        <v>0</v>
      </c>
      <c r="F237" s="21">
        <f>SUM(F238:F239)</f>
        <v>0</v>
      </c>
      <c r="G237" s="21">
        <f>SUM(G238:G239)</f>
        <v>0</v>
      </c>
    </row>
    <row r="238" spans="1:7" ht="26.25" customHeight="1" hidden="1">
      <c r="A238" s="10" t="s">
        <v>10</v>
      </c>
      <c r="B238" s="9" t="s">
        <v>64</v>
      </c>
      <c r="C238" s="9" t="s">
        <v>41</v>
      </c>
      <c r="D238" s="9" t="s">
        <v>11</v>
      </c>
      <c r="E238" s="21"/>
      <c r="F238" s="21"/>
      <c r="G238" s="21"/>
    </row>
    <row r="239" spans="1:7" ht="26.25" customHeight="1" hidden="1">
      <c r="A239" s="10" t="s">
        <v>27</v>
      </c>
      <c r="B239" s="9" t="s">
        <v>64</v>
      </c>
      <c r="C239" s="9" t="s">
        <v>41</v>
      </c>
      <c r="D239" s="9" t="s">
        <v>28</v>
      </c>
      <c r="E239" s="21"/>
      <c r="F239" s="21"/>
      <c r="G239" s="21"/>
    </row>
    <row r="240" spans="1:7" ht="27.75" customHeight="1" hidden="1">
      <c r="A240" s="17" t="s">
        <v>107</v>
      </c>
      <c r="B240" s="8" t="s">
        <v>64</v>
      </c>
      <c r="C240" s="8" t="s">
        <v>112</v>
      </c>
      <c r="D240" s="8"/>
      <c r="E240" s="21">
        <f>SUM(E241:E242)</f>
        <v>0</v>
      </c>
      <c r="F240" s="21">
        <f>SUM(F241:F242)</f>
        <v>0</v>
      </c>
      <c r="G240" s="21">
        <f>SUM(G241:G242)</f>
        <v>0</v>
      </c>
    </row>
    <row r="241" spans="1:7" ht="18" customHeight="1" hidden="1">
      <c r="A241" s="10" t="s">
        <v>10</v>
      </c>
      <c r="B241" s="9" t="s">
        <v>64</v>
      </c>
      <c r="C241" s="9" t="s">
        <v>112</v>
      </c>
      <c r="D241" s="9" t="s">
        <v>11</v>
      </c>
      <c r="E241" s="21"/>
      <c r="F241" s="21"/>
      <c r="G241" s="21"/>
    </row>
    <row r="242" spans="1:7" ht="19.5" customHeight="1" hidden="1">
      <c r="A242" s="10" t="s">
        <v>27</v>
      </c>
      <c r="B242" s="9" t="s">
        <v>64</v>
      </c>
      <c r="C242" s="9" t="s">
        <v>112</v>
      </c>
      <c r="D242" s="9" t="s">
        <v>28</v>
      </c>
      <c r="E242" s="21"/>
      <c r="F242" s="21"/>
      <c r="G242" s="21"/>
    </row>
    <row r="243" spans="1:7" ht="69">
      <c r="A243" s="11" t="s">
        <v>194</v>
      </c>
      <c r="B243" s="8" t="s">
        <v>64</v>
      </c>
      <c r="C243" s="8" t="s">
        <v>192</v>
      </c>
      <c r="D243" s="8"/>
      <c r="E243" s="21">
        <f>SUM(E244:E245)+E246</f>
        <v>3025796</v>
      </c>
      <c r="F243" s="21">
        <f>SUM(F244:F245)+F246</f>
        <v>0</v>
      </c>
      <c r="G243" s="21">
        <f>SUM(G244:G245)+G246</f>
        <v>0</v>
      </c>
    </row>
    <row r="244" spans="1:7" ht="144">
      <c r="A244" s="10" t="s">
        <v>6</v>
      </c>
      <c r="B244" s="9" t="s">
        <v>64</v>
      </c>
      <c r="C244" s="9" t="s">
        <v>192</v>
      </c>
      <c r="D244" s="9" t="s">
        <v>7</v>
      </c>
      <c r="E244" s="22">
        <v>2100</v>
      </c>
      <c r="F244" s="22"/>
      <c r="G244" s="22"/>
    </row>
    <row r="245" spans="1:7" ht="54.75" customHeight="1">
      <c r="A245" s="10" t="s">
        <v>10</v>
      </c>
      <c r="B245" s="9" t="s">
        <v>64</v>
      </c>
      <c r="C245" s="9" t="s">
        <v>192</v>
      </c>
      <c r="D245" s="9" t="s">
        <v>11</v>
      </c>
      <c r="E245" s="22">
        <f>1116500+1582000-50000-74000+70000+5900-40950-50000+21037.58+279300</f>
        <v>2859787.58</v>
      </c>
      <c r="F245" s="22"/>
      <c r="G245" s="22"/>
    </row>
    <row r="246" spans="1:7" ht="72">
      <c r="A246" s="10" t="s">
        <v>27</v>
      </c>
      <c r="B246" s="9" t="s">
        <v>64</v>
      </c>
      <c r="C246" s="9" t="s">
        <v>192</v>
      </c>
      <c r="D246" s="9" t="s">
        <v>28</v>
      </c>
      <c r="E246" s="22">
        <f>53996+50000+50000+30950-21037.58</f>
        <v>163908.41999999998</v>
      </c>
      <c r="F246" s="22"/>
      <c r="G246" s="22"/>
    </row>
    <row r="247" spans="1:7" ht="69" hidden="1">
      <c r="A247" s="17" t="s">
        <v>108</v>
      </c>
      <c r="B247" s="8" t="s">
        <v>64</v>
      </c>
      <c r="C247" s="8" t="s">
        <v>114</v>
      </c>
      <c r="D247" s="8"/>
      <c r="E247" s="21">
        <f>SUM(E248:E249)</f>
        <v>0</v>
      </c>
      <c r="F247" s="21">
        <f>SUM(F248:F249)</f>
        <v>0</v>
      </c>
      <c r="G247" s="21">
        <f>SUM(G248:G249)</f>
        <v>0</v>
      </c>
    </row>
    <row r="248" spans="1:7" ht="54" hidden="1">
      <c r="A248" s="10" t="s">
        <v>10</v>
      </c>
      <c r="B248" s="9" t="s">
        <v>64</v>
      </c>
      <c r="C248" s="9" t="s">
        <v>114</v>
      </c>
      <c r="D248" s="9" t="s">
        <v>11</v>
      </c>
      <c r="E248" s="21"/>
      <c r="F248" s="21"/>
      <c r="G248" s="21"/>
    </row>
    <row r="249" spans="1:7" ht="72" hidden="1">
      <c r="A249" s="10" t="s">
        <v>27</v>
      </c>
      <c r="B249" s="9" t="s">
        <v>64</v>
      </c>
      <c r="C249" s="9" t="s">
        <v>114</v>
      </c>
      <c r="D249" s="9" t="s">
        <v>28</v>
      </c>
      <c r="E249" s="21"/>
      <c r="F249" s="21"/>
      <c r="G249" s="21"/>
    </row>
    <row r="250" spans="1:7" ht="17.25" hidden="1">
      <c r="A250" s="26"/>
      <c r="B250" s="8" t="s">
        <v>64</v>
      </c>
      <c r="C250" s="8"/>
      <c r="D250" s="8"/>
      <c r="E250" s="21">
        <f>SUM(E251:E252)</f>
        <v>0</v>
      </c>
      <c r="F250" s="21">
        <f>SUM(F251:F252)</f>
        <v>0</v>
      </c>
      <c r="G250" s="21">
        <f>SUM(G251:G252)</f>
        <v>0</v>
      </c>
    </row>
    <row r="251" spans="1:7" ht="54" hidden="1">
      <c r="A251" s="10" t="s">
        <v>10</v>
      </c>
      <c r="B251" s="9" t="s">
        <v>64</v>
      </c>
      <c r="C251" s="9" t="s">
        <v>144</v>
      </c>
      <c r="D251" s="9" t="s">
        <v>11</v>
      </c>
      <c r="E251" s="22"/>
      <c r="F251" s="22"/>
      <c r="G251" s="22"/>
    </row>
    <row r="252" spans="1:7" ht="72" hidden="1">
      <c r="A252" s="10" t="s">
        <v>27</v>
      </c>
      <c r="B252" s="9" t="s">
        <v>64</v>
      </c>
      <c r="C252" s="9" t="s">
        <v>144</v>
      </c>
      <c r="D252" s="9" t="s">
        <v>28</v>
      </c>
      <c r="E252" s="22"/>
      <c r="F252" s="22"/>
      <c r="G252" s="22"/>
    </row>
    <row r="253" spans="1:7" ht="104.25">
      <c r="A253" s="11" t="s">
        <v>187</v>
      </c>
      <c r="B253" s="8" t="s">
        <v>64</v>
      </c>
      <c r="C253" s="8" t="s">
        <v>165</v>
      </c>
      <c r="D253" s="9"/>
      <c r="E253" s="21">
        <f>E255+E254</f>
        <v>147160</v>
      </c>
      <c r="F253" s="21">
        <f>F255</f>
        <v>0</v>
      </c>
      <c r="G253" s="21">
        <f>G255</f>
        <v>0</v>
      </c>
    </row>
    <row r="254" spans="1:7" ht="54">
      <c r="A254" s="10" t="s">
        <v>10</v>
      </c>
      <c r="B254" s="9" t="s">
        <v>64</v>
      </c>
      <c r="C254" s="9" t="s">
        <v>165</v>
      </c>
      <c r="D254" s="9" t="s">
        <v>11</v>
      </c>
      <c r="E254" s="22">
        <f>67037.84</f>
        <v>67037.84</v>
      </c>
      <c r="F254" s="22"/>
      <c r="G254" s="22"/>
    </row>
    <row r="255" spans="1:7" ht="72">
      <c r="A255" s="10" t="s">
        <v>27</v>
      </c>
      <c r="B255" s="9" t="s">
        <v>64</v>
      </c>
      <c r="C255" s="9" t="s">
        <v>165</v>
      </c>
      <c r="D255" s="9" t="s">
        <v>28</v>
      </c>
      <c r="E255" s="22">
        <f>47160+40000+10000+50000-67037.84</f>
        <v>80122.16</v>
      </c>
      <c r="F255" s="22"/>
      <c r="G255" s="22"/>
    </row>
    <row r="256" spans="1:7" ht="150" customHeight="1">
      <c r="A256" s="11" t="s">
        <v>183</v>
      </c>
      <c r="B256" s="8" t="s">
        <v>64</v>
      </c>
      <c r="C256" s="8" t="s">
        <v>162</v>
      </c>
      <c r="D256" s="8"/>
      <c r="E256" s="21">
        <f>SUM(E257:E258)</f>
        <v>6211798</v>
      </c>
      <c r="F256" s="21">
        <f>SUM(F257:F258)</f>
        <v>6171587</v>
      </c>
      <c r="G256" s="21">
        <f>SUM(G257:G258)</f>
        <v>6171587</v>
      </c>
    </row>
    <row r="257" spans="1:7" ht="132.75" customHeight="1">
      <c r="A257" s="10" t="s">
        <v>6</v>
      </c>
      <c r="B257" s="9" t="s">
        <v>64</v>
      </c>
      <c r="C257" s="9" t="s">
        <v>162</v>
      </c>
      <c r="D257" s="9" t="s">
        <v>7</v>
      </c>
      <c r="E257" s="22">
        <f>5671874-183163</f>
        <v>5488711</v>
      </c>
      <c r="F257" s="22">
        <f>5847292</f>
        <v>5847292</v>
      </c>
      <c r="G257" s="22">
        <f>5847292</f>
        <v>5847292</v>
      </c>
    </row>
    <row r="258" spans="1:7" ht="57" customHeight="1">
      <c r="A258" s="10" t="s">
        <v>10</v>
      </c>
      <c r="B258" s="9" t="s">
        <v>64</v>
      </c>
      <c r="C258" s="9" t="s">
        <v>162</v>
      </c>
      <c r="D258" s="9" t="s">
        <v>11</v>
      </c>
      <c r="E258" s="22">
        <f>509887+70000+100000+43200</f>
        <v>723087</v>
      </c>
      <c r="F258" s="22">
        <f>324295</f>
        <v>324295</v>
      </c>
      <c r="G258" s="22">
        <f>324295</f>
        <v>324295</v>
      </c>
    </row>
    <row r="259" spans="1:7" ht="87">
      <c r="A259" s="11" t="s">
        <v>102</v>
      </c>
      <c r="B259" s="8" t="s">
        <v>64</v>
      </c>
      <c r="C259" s="8" t="s">
        <v>135</v>
      </c>
      <c r="D259" s="8" t="s">
        <v>7</v>
      </c>
      <c r="E259" s="21">
        <f>E260+E261</f>
        <v>9206.61</v>
      </c>
      <c r="F259" s="21">
        <f>F260+F261</f>
        <v>0</v>
      </c>
      <c r="G259" s="21">
        <f>G260+G261</f>
        <v>0</v>
      </c>
    </row>
    <row r="260" spans="1:7" ht="132.75" customHeight="1">
      <c r="A260" s="10" t="s">
        <v>6</v>
      </c>
      <c r="B260" s="9" t="s">
        <v>64</v>
      </c>
      <c r="C260" s="9" t="s">
        <v>135</v>
      </c>
      <c r="D260" s="9" t="s">
        <v>7</v>
      </c>
      <c r="E260" s="22">
        <f>9206.61</f>
        <v>9206.61</v>
      </c>
      <c r="F260" s="22"/>
      <c r="G260" s="22"/>
    </row>
    <row r="261" spans="1:7" ht="54" hidden="1">
      <c r="A261" s="10" t="s">
        <v>10</v>
      </c>
      <c r="B261" s="9" t="s">
        <v>64</v>
      </c>
      <c r="C261" s="9" t="s">
        <v>135</v>
      </c>
      <c r="D261" s="9" t="s">
        <v>11</v>
      </c>
      <c r="E261" s="22"/>
      <c r="F261" s="22"/>
      <c r="G261" s="22"/>
    </row>
    <row r="262" spans="1:7" ht="84" customHeight="1">
      <c r="A262" s="11" t="s">
        <v>103</v>
      </c>
      <c r="B262" s="8" t="s">
        <v>64</v>
      </c>
      <c r="C262" s="8" t="s">
        <v>137</v>
      </c>
      <c r="D262" s="8" t="s">
        <v>0</v>
      </c>
      <c r="E262" s="21">
        <f>SUM(E263:E267)</f>
        <v>26000</v>
      </c>
      <c r="F262" s="21">
        <f>SUM(F263:F267)</f>
        <v>0</v>
      </c>
      <c r="G262" s="21">
        <f>SUM(G263:G267)</f>
        <v>0</v>
      </c>
    </row>
    <row r="263" spans="1:7" ht="144" hidden="1">
      <c r="A263" s="10" t="s">
        <v>6</v>
      </c>
      <c r="B263" s="9" t="s">
        <v>64</v>
      </c>
      <c r="C263" s="9" t="s">
        <v>137</v>
      </c>
      <c r="D263" s="9" t="s">
        <v>7</v>
      </c>
      <c r="E263" s="22"/>
      <c r="F263" s="22"/>
      <c r="G263" s="22"/>
    </row>
    <row r="264" spans="1:7" ht="54">
      <c r="A264" s="10" t="s">
        <v>10</v>
      </c>
      <c r="B264" s="9" t="s">
        <v>64</v>
      </c>
      <c r="C264" s="9" t="s">
        <v>137</v>
      </c>
      <c r="D264" s="9" t="s">
        <v>11</v>
      </c>
      <c r="E264" s="22">
        <v>20000</v>
      </c>
      <c r="F264" s="22"/>
      <c r="G264" s="22"/>
    </row>
    <row r="265" spans="1:7" ht="45" customHeight="1">
      <c r="A265" s="10" t="s">
        <v>33</v>
      </c>
      <c r="B265" s="9" t="s">
        <v>64</v>
      </c>
      <c r="C265" s="9" t="s">
        <v>137</v>
      </c>
      <c r="D265" s="9" t="s">
        <v>34</v>
      </c>
      <c r="E265" s="22">
        <f>6000</f>
        <v>6000</v>
      </c>
      <c r="F265" s="22"/>
      <c r="G265" s="22"/>
    </row>
    <row r="266" spans="1:7" ht="72" hidden="1">
      <c r="A266" s="10" t="s">
        <v>27</v>
      </c>
      <c r="B266" s="9" t="s">
        <v>64</v>
      </c>
      <c r="C266" s="9" t="s">
        <v>137</v>
      </c>
      <c r="D266" s="9" t="s">
        <v>28</v>
      </c>
      <c r="E266" s="22"/>
      <c r="F266" s="22"/>
      <c r="G266" s="22"/>
    </row>
    <row r="267" spans="1:7" ht="18" hidden="1">
      <c r="A267" s="10" t="s">
        <v>13</v>
      </c>
      <c r="B267" s="9" t="s">
        <v>64</v>
      </c>
      <c r="C267" s="9" t="s">
        <v>137</v>
      </c>
      <c r="D267" s="9" t="s">
        <v>14</v>
      </c>
      <c r="E267" s="22"/>
      <c r="F267" s="22"/>
      <c r="G267" s="22"/>
    </row>
    <row r="268" spans="1:7" ht="18" hidden="1">
      <c r="A268" s="10"/>
      <c r="B268" s="9"/>
      <c r="C268" s="9"/>
      <c r="D268" s="9"/>
      <c r="E268" s="21"/>
      <c r="F268" s="21"/>
      <c r="G268" s="21"/>
    </row>
    <row r="269" spans="1:7" ht="34.5">
      <c r="A269" s="11" t="s">
        <v>65</v>
      </c>
      <c r="B269" s="8" t="s">
        <v>66</v>
      </c>
      <c r="C269" s="8"/>
      <c r="D269" s="8"/>
      <c r="E269" s="21">
        <f>E270+E283</f>
        <v>36035866</v>
      </c>
      <c r="F269" s="21">
        <f>F270+F283</f>
        <v>11085808</v>
      </c>
      <c r="G269" s="21">
        <f>G270+G283</f>
        <v>11085808</v>
      </c>
    </row>
    <row r="270" spans="1:7" ht="17.25">
      <c r="A270" s="11" t="s">
        <v>67</v>
      </c>
      <c r="B270" s="8" t="s">
        <v>68</v>
      </c>
      <c r="C270" s="8"/>
      <c r="D270" s="8"/>
      <c r="E270" s="21">
        <f>E271+E279+E277</f>
        <v>29400213</v>
      </c>
      <c r="F270" s="21">
        <f>F271+F279</f>
        <v>9031786</v>
      </c>
      <c r="G270" s="21">
        <f>G271+G279</f>
        <v>9031786</v>
      </c>
    </row>
    <row r="271" spans="1:8" ht="108" customHeight="1">
      <c r="A271" s="11" t="s">
        <v>187</v>
      </c>
      <c r="B271" s="8" t="s">
        <v>68</v>
      </c>
      <c r="C271" s="8" t="s">
        <v>145</v>
      </c>
      <c r="D271" s="8" t="s">
        <v>0</v>
      </c>
      <c r="E271" s="21">
        <f>SUM(E272:E276)</f>
        <v>29399912.89</v>
      </c>
      <c r="F271" s="21">
        <f>SUM(F272:F276)</f>
        <v>9031786</v>
      </c>
      <c r="G271" s="21">
        <f>SUM(G272:G276)</f>
        <v>9031786</v>
      </c>
      <c r="H271" s="21"/>
    </row>
    <row r="272" spans="1:7" ht="135" customHeight="1">
      <c r="A272" s="10" t="s">
        <v>6</v>
      </c>
      <c r="B272" s="9" t="s">
        <v>68</v>
      </c>
      <c r="C272" s="9" t="s">
        <v>145</v>
      </c>
      <c r="D272" s="9" t="s">
        <v>7</v>
      </c>
      <c r="E272" s="22">
        <f>11348739+6693041-20000-300+20000-71000-234049+130000-4000-206757-59400-12000+5950-0.11-5225-56000-142000-167730+24605+305+45454-68</f>
        <v>17289564.89</v>
      </c>
      <c r="F272" s="22">
        <f>6888753</f>
        <v>6888753</v>
      </c>
      <c r="G272" s="22">
        <f>6888753</f>
        <v>6888753</v>
      </c>
    </row>
    <row r="273" spans="1:7" ht="57" customHeight="1">
      <c r="A273" s="10" t="s">
        <v>10</v>
      </c>
      <c r="B273" s="9" t="s">
        <v>68</v>
      </c>
      <c r="C273" s="9" t="s">
        <v>145</v>
      </c>
      <c r="D273" s="9" t="s">
        <v>11</v>
      </c>
      <c r="E273" s="22">
        <f>2228078+2231930+20000+189948+18360-20000+210590+9750+182201+2250000+45000+75000+148850+1520+95000+20000+188142+160450+600000+234049+33200+1007480+680874+3000+90000+4000+206757+70000+105068-72801+36528-5950+550000+10783+56000+142000+167730+350000-45454-167803+68</f>
        <v>12110348</v>
      </c>
      <c r="F273" s="22">
        <f>2143033</f>
        <v>2143033</v>
      </c>
      <c r="G273" s="22">
        <f>2143033</f>
        <v>2143033</v>
      </c>
    </row>
    <row r="274" spans="1:7" ht="31.5" customHeight="1" hidden="1">
      <c r="A274" s="10" t="s">
        <v>25</v>
      </c>
      <c r="B274" s="9" t="s">
        <v>68</v>
      </c>
      <c r="C274" s="9" t="s">
        <v>101</v>
      </c>
      <c r="D274" s="9" t="s">
        <v>26</v>
      </c>
      <c r="E274" s="22"/>
      <c r="F274" s="22"/>
      <c r="G274" s="22"/>
    </row>
    <row r="275" spans="1:7" ht="72" hidden="1">
      <c r="A275" s="10" t="s">
        <v>27</v>
      </c>
      <c r="B275" s="9" t="s">
        <v>68</v>
      </c>
      <c r="C275" s="9" t="s">
        <v>101</v>
      </c>
      <c r="D275" s="9" t="s">
        <v>28</v>
      </c>
      <c r="E275" s="22"/>
      <c r="F275" s="22"/>
      <c r="G275" s="22"/>
    </row>
    <row r="276" spans="1:7" ht="34.5" customHeight="1" hidden="1">
      <c r="A276" s="10" t="s">
        <v>13</v>
      </c>
      <c r="B276" s="9" t="s">
        <v>68</v>
      </c>
      <c r="C276" s="9" t="s">
        <v>101</v>
      </c>
      <c r="D276" s="9" t="s">
        <v>14</v>
      </c>
      <c r="E276" s="22"/>
      <c r="F276" s="22"/>
      <c r="G276" s="22"/>
    </row>
    <row r="277" spans="1:7" ht="0.75" customHeight="1" hidden="1">
      <c r="A277" s="11" t="s">
        <v>153</v>
      </c>
      <c r="B277" s="8" t="s">
        <v>68</v>
      </c>
      <c r="C277" s="8" t="s">
        <v>154</v>
      </c>
      <c r="D277" s="8"/>
      <c r="E277" s="21">
        <f>E278</f>
        <v>0</v>
      </c>
      <c r="F277" s="21"/>
      <c r="G277" s="21"/>
    </row>
    <row r="278" spans="1:7" ht="54" hidden="1">
      <c r="A278" s="10" t="s">
        <v>10</v>
      </c>
      <c r="B278" s="9" t="s">
        <v>68</v>
      </c>
      <c r="C278" s="9" t="s">
        <v>154</v>
      </c>
      <c r="D278" s="9" t="s">
        <v>11</v>
      </c>
      <c r="E278" s="22"/>
      <c r="F278" s="22"/>
      <c r="G278" s="22"/>
    </row>
    <row r="279" spans="1:7" ht="68.25" customHeight="1">
      <c r="A279" s="11" t="s">
        <v>103</v>
      </c>
      <c r="B279" s="8" t="s">
        <v>68</v>
      </c>
      <c r="C279" s="8" t="s">
        <v>137</v>
      </c>
      <c r="D279" s="8" t="s">
        <v>0</v>
      </c>
      <c r="E279" s="21">
        <f>SUM(E280:E282)</f>
        <v>300.11</v>
      </c>
      <c r="F279" s="21">
        <f>SUM(F280:F282)</f>
        <v>0</v>
      </c>
      <c r="G279" s="21">
        <f>SUM(G280:G282)</f>
        <v>0</v>
      </c>
    </row>
    <row r="280" spans="1:7" ht="144" hidden="1">
      <c r="A280" s="10" t="s">
        <v>6</v>
      </c>
      <c r="B280" s="9" t="s">
        <v>68</v>
      </c>
      <c r="C280" s="9" t="s">
        <v>137</v>
      </c>
      <c r="D280" s="9" t="s">
        <v>7</v>
      </c>
      <c r="E280" s="22"/>
      <c r="F280" s="22"/>
      <c r="G280" s="22"/>
    </row>
    <row r="281" spans="1:7" ht="0" customHeight="1" hidden="1">
      <c r="A281" s="10" t="s">
        <v>10</v>
      </c>
      <c r="B281" s="9" t="s">
        <v>68</v>
      </c>
      <c r="C281" s="9" t="s">
        <v>137</v>
      </c>
      <c r="D281" s="9" t="s">
        <v>11</v>
      </c>
      <c r="E281" s="22"/>
      <c r="F281" s="22"/>
      <c r="G281" s="22"/>
    </row>
    <row r="282" spans="1:7" ht="18">
      <c r="A282" s="10" t="s">
        <v>13</v>
      </c>
      <c r="B282" s="9" t="s">
        <v>68</v>
      </c>
      <c r="C282" s="9" t="s">
        <v>137</v>
      </c>
      <c r="D282" s="9" t="s">
        <v>14</v>
      </c>
      <c r="E282" s="22">
        <f>300+0.11</f>
        <v>300.11</v>
      </c>
      <c r="F282" s="22"/>
      <c r="G282" s="22"/>
    </row>
    <row r="283" spans="1:7" ht="39.75" customHeight="1">
      <c r="A283" s="11" t="s">
        <v>163</v>
      </c>
      <c r="B283" s="8" t="s">
        <v>164</v>
      </c>
      <c r="C283" s="9"/>
      <c r="D283" s="9"/>
      <c r="E283" s="21">
        <f>E284+E287+E290</f>
        <v>6635653</v>
      </c>
      <c r="F283" s="21">
        <f>F284+F287+F290</f>
        <v>2054022</v>
      </c>
      <c r="G283" s="21">
        <f>G284+G287+G290</f>
        <v>2054022</v>
      </c>
    </row>
    <row r="284" spans="1:7" ht="105" customHeight="1">
      <c r="A284" s="11" t="s">
        <v>187</v>
      </c>
      <c r="B284" s="8" t="s">
        <v>164</v>
      </c>
      <c r="C284" s="8" t="s">
        <v>165</v>
      </c>
      <c r="D284" s="8"/>
      <c r="E284" s="21">
        <f>E285+E286</f>
        <v>6635653</v>
      </c>
      <c r="F284" s="21">
        <f>F285+F286</f>
        <v>2054022</v>
      </c>
      <c r="G284" s="21">
        <f>G285+G286</f>
        <v>2054022</v>
      </c>
    </row>
    <row r="285" spans="1:7" ht="144">
      <c r="A285" s="10" t="s">
        <v>6</v>
      </c>
      <c r="B285" s="9" t="s">
        <v>164</v>
      </c>
      <c r="C285" s="9" t="s">
        <v>165</v>
      </c>
      <c r="D285" s="9" t="s">
        <v>7</v>
      </c>
      <c r="E285" s="22">
        <f>4695967+1992402-70000+3784</f>
        <v>6622153</v>
      </c>
      <c r="F285" s="22">
        <f>2054022</f>
        <v>2054022</v>
      </c>
      <c r="G285" s="22">
        <f>2054022</f>
        <v>2054022</v>
      </c>
    </row>
    <row r="286" spans="1:7" ht="54">
      <c r="A286" s="10" t="s">
        <v>10</v>
      </c>
      <c r="B286" s="9" t="s">
        <v>164</v>
      </c>
      <c r="C286" s="9" t="s">
        <v>165</v>
      </c>
      <c r="D286" s="9" t="s">
        <v>11</v>
      </c>
      <c r="E286" s="22">
        <f>13500</f>
        <v>13500</v>
      </c>
      <c r="F286" s="22"/>
      <c r="G286" s="22"/>
    </row>
    <row r="287" spans="1:7" ht="121.5" hidden="1">
      <c r="A287" s="11" t="s">
        <v>161</v>
      </c>
      <c r="B287" s="8" t="s">
        <v>164</v>
      </c>
      <c r="C287" s="8" t="s">
        <v>162</v>
      </c>
      <c r="D287" s="9"/>
      <c r="E287" s="21">
        <f>E288+E289</f>
        <v>0</v>
      </c>
      <c r="F287" s="21">
        <f>F288+F289</f>
        <v>0</v>
      </c>
      <c r="G287" s="21">
        <f>G288+G289</f>
        <v>0</v>
      </c>
    </row>
    <row r="288" spans="1:7" ht="144" hidden="1">
      <c r="A288" s="10" t="s">
        <v>6</v>
      </c>
      <c r="B288" s="9" t="s">
        <v>164</v>
      </c>
      <c r="C288" s="9" t="s">
        <v>162</v>
      </c>
      <c r="D288" s="9" t="s">
        <v>7</v>
      </c>
      <c r="E288" s="22"/>
      <c r="F288" s="22"/>
      <c r="G288" s="22"/>
    </row>
    <row r="289" spans="1:7" s="19" customFormat="1" ht="54" hidden="1">
      <c r="A289" s="10" t="s">
        <v>10</v>
      </c>
      <c r="B289" s="9" t="s">
        <v>164</v>
      </c>
      <c r="C289" s="9" t="s">
        <v>162</v>
      </c>
      <c r="D289" s="9" t="s">
        <v>11</v>
      </c>
      <c r="E289" s="22"/>
      <c r="F289" s="22"/>
      <c r="G289" s="22"/>
    </row>
    <row r="290" spans="1:7" s="25" customFormat="1" ht="69" hidden="1">
      <c r="A290" s="11" t="s">
        <v>103</v>
      </c>
      <c r="B290" s="8" t="s">
        <v>164</v>
      </c>
      <c r="C290" s="8" t="s">
        <v>151</v>
      </c>
      <c r="D290" s="8"/>
      <c r="E290" s="21">
        <f>E291</f>
        <v>0</v>
      </c>
      <c r="F290" s="21">
        <f>F291</f>
        <v>0</v>
      </c>
      <c r="G290" s="21">
        <f>G291</f>
        <v>0</v>
      </c>
    </row>
    <row r="291" spans="1:7" ht="144" hidden="1">
      <c r="A291" s="10" t="s">
        <v>6</v>
      </c>
      <c r="B291" s="9" t="s">
        <v>164</v>
      </c>
      <c r="C291" s="9" t="s">
        <v>151</v>
      </c>
      <c r="D291" s="9" t="s">
        <v>7</v>
      </c>
      <c r="E291" s="22"/>
      <c r="F291" s="22"/>
      <c r="G291" s="22"/>
    </row>
    <row r="292" spans="1:7" ht="17.25">
      <c r="A292" s="11" t="s">
        <v>69</v>
      </c>
      <c r="B292" s="8" t="s">
        <v>70</v>
      </c>
      <c r="C292" s="8" t="s">
        <v>0</v>
      </c>
      <c r="D292" s="8" t="s">
        <v>0</v>
      </c>
      <c r="E292" s="21">
        <f>E293+E296+E307+E315</f>
        <v>15316305</v>
      </c>
      <c r="F292" s="21">
        <f>F293+F296+F307+F315</f>
        <v>14617205</v>
      </c>
      <c r="G292" s="21">
        <f>G293+G296+G307+G315</f>
        <v>14725305</v>
      </c>
    </row>
    <row r="293" spans="1:7" ht="17.25">
      <c r="A293" s="11" t="s">
        <v>71</v>
      </c>
      <c r="B293" s="8" t="s">
        <v>72</v>
      </c>
      <c r="C293" s="8" t="s">
        <v>0</v>
      </c>
      <c r="D293" s="8" t="s">
        <v>0</v>
      </c>
      <c r="E293" s="21">
        <f aca="true" t="shared" si="7" ref="E293:G294">E294</f>
        <v>1103805</v>
      </c>
      <c r="F293" s="21">
        <f t="shared" si="7"/>
        <v>1103805</v>
      </c>
      <c r="G293" s="21">
        <f t="shared" si="7"/>
        <v>1103805</v>
      </c>
    </row>
    <row r="294" spans="1:7" ht="69">
      <c r="A294" s="11" t="s">
        <v>103</v>
      </c>
      <c r="B294" s="8" t="s">
        <v>72</v>
      </c>
      <c r="C294" s="8" t="s">
        <v>137</v>
      </c>
      <c r="D294" s="8" t="s">
        <v>0</v>
      </c>
      <c r="E294" s="21">
        <f t="shared" si="7"/>
        <v>1103805</v>
      </c>
      <c r="F294" s="21">
        <f t="shared" si="7"/>
        <v>1103805</v>
      </c>
      <c r="G294" s="21">
        <f t="shared" si="7"/>
        <v>1103805</v>
      </c>
    </row>
    <row r="295" spans="1:7" ht="36">
      <c r="A295" s="10" t="s">
        <v>33</v>
      </c>
      <c r="B295" s="9" t="s">
        <v>72</v>
      </c>
      <c r="C295" s="9" t="s">
        <v>137</v>
      </c>
      <c r="D295" s="9" t="s">
        <v>34</v>
      </c>
      <c r="E295" s="22">
        <f>1103805</f>
        <v>1103805</v>
      </c>
      <c r="F295" s="22">
        <f>1103805</f>
        <v>1103805</v>
      </c>
      <c r="G295" s="22">
        <f>1103805</f>
        <v>1103805</v>
      </c>
    </row>
    <row r="296" spans="1:7" ht="40.5" customHeight="1">
      <c r="A296" s="11" t="s">
        <v>73</v>
      </c>
      <c r="B296" s="8" t="s">
        <v>74</v>
      </c>
      <c r="C296" s="8" t="s">
        <v>0</v>
      </c>
      <c r="D296" s="8" t="s">
        <v>0</v>
      </c>
      <c r="E296" s="21">
        <f>E297+E300+E302</f>
        <v>6439199</v>
      </c>
      <c r="F296" s="21">
        <f>F297+F300+F302</f>
        <v>7456457</v>
      </c>
      <c r="G296" s="21">
        <f>G297+G300+G302</f>
        <v>7547357</v>
      </c>
    </row>
    <row r="297" spans="1:7" ht="138.75">
      <c r="A297" s="11" t="s">
        <v>180</v>
      </c>
      <c r="B297" s="8" t="s">
        <v>74</v>
      </c>
      <c r="C297" s="8" t="s">
        <v>136</v>
      </c>
      <c r="D297" s="8"/>
      <c r="E297" s="21">
        <f>SUM(E298:E299)</f>
        <v>44500</v>
      </c>
      <c r="F297" s="21">
        <f>SUM(F298:F299)</f>
        <v>0</v>
      </c>
      <c r="G297" s="21">
        <f>SUM(G298:G299)</f>
        <v>0</v>
      </c>
    </row>
    <row r="298" spans="1:7" ht="52.5" customHeight="1">
      <c r="A298" s="10" t="s">
        <v>10</v>
      </c>
      <c r="B298" s="9" t="s">
        <v>74</v>
      </c>
      <c r="C298" s="9" t="s">
        <v>136</v>
      </c>
      <c r="D298" s="9" t="s">
        <v>11</v>
      </c>
      <c r="E298" s="22">
        <v>44500</v>
      </c>
      <c r="F298" s="22"/>
      <c r="G298" s="22"/>
    </row>
    <row r="299" spans="1:7" ht="18" hidden="1">
      <c r="A299" s="10" t="s">
        <v>13</v>
      </c>
      <c r="B299" s="9" t="s">
        <v>74</v>
      </c>
      <c r="C299" s="9" t="s">
        <v>100</v>
      </c>
      <c r="D299" s="9" t="s">
        <v>14</v>
      </c>
      <c r="E299" s="22"/>
      <c r="F299" s="22"/>
      <c r="G299" s="22"/>
    </row>
    <row r="300" spans="1:7" ht="51.75">
      <c r="A300" s="11" t="s">
        <v>189</v>
      </c>
      <c r="B300" s="8" t="s">
        <v>74</v>
      </c>
      <c r="C300" s="8" t="s">
        <v>146</v>
      </c>
      <c r="D300" s="8" t="s">
        <v>0</v>
      </c>
      <c r="E300" s="21">
        <f>SUM(E301:E301)</f>
        <v>0</v>
      </c>
      <c r="F300" s="21">
        <f>SUM(F301:F301)</f>
        <v>0</v>
      </c>
      <c r="G300" s="21">
        <f>SUM(G301:G301)</f>
        <v>0</v>
      </c>
    </row>
    <row r="301" spans="1:7" ht="36">
      <c r="A301" s="10" t="s">
        <v>33</v>
      </c>
      <c r="B301" s="9" t="s">
        <v>74</v>
      </c>
      <c r="C301" s="9" t="s">
        <v>146</v>
      </c>
      <c r="D301" s="9" t="s">
        <v>34</v>
      </c>
      <c r="E301" s="22"/>
      <c r="F301" s="22"/>
      <c r="G301" s="22"/>
    </row>
    <row r="302" spans="1:7" ht="72.75" customHeight="1">
      <c r="A302" s="11" t="s">
        <v>103</v>
      </c>
      <c r="B302" s="8" t="s">
        <v>74</v>
      </c>
      <c r="C302" s="8" t="s">
        <v>137</v>
      </c>
      <c r="D302" s="8" t="s">
        <v>0</v>
      </c>
      <c r="E302" s="21">
        <f>SUM(E303:E306)</f>
        <v>6394699</v>
      </c>
      <c r="F302" s="21">
        <f>SUM(F303:F306)</f>
        <v>7456457</v>
      </c>
      <c r="G302" s="21">
        <f>SUM(G303:G306)</f>
        <v>7547357</v>
      </c>
    </row>
    <row r="303" spans="1:7" ht="129.75" customHeight="1">
      <c r="A303" s="10" t="s">
        <v>6</v>
      </c>
      <c r="B303" s="9" t="s">
        <v>74</v>
      </c>
      <c r="C303" s="9" t="s">
        <v>137</v>
      </c>
      <c r="D303" s="9" t="s">
        <v>7</v>
      </c>
      <c r="E303" s="22">
        <f>59600+2298800+956900-15000+91007.6-327000-21600-230400</f>
        <v>2812307.6</v>
      </c>
      <c r="F303" s="22">
        <f>52700+2008600+956900+201600</f>
        <v>3219800</v>
      </c>
      <c r="G303" s="22">
        <f>54800+2097400+956900+201600</f>
        <v>3310700</v>
      </c>
    </row>
    <row r="304" spans="1:7" ht="54" hidden="1">
      <c r="A304" s="10" t="s">
        <v>10</v>
      </c>
      <c r="B304" s="9" t="s">
        <v>74</v>
      </c>
      <c r="C304" s="9" t="s">
        <v>137</v>
      </c>
      <c r="D304" s="9" t="s">
        <v>11</v>
      </c>
      <c r="E304" s="22"/>
      <c r="F304" s="22"/>
      <c r="G304" s="22"/>
    </row>
    <row r="305" spans="1:7" ht="30" customHeight="1">
      <c r="A305" s="10" t="s">
        <v>33</v>
      </c>
      <c r="B305" s="9" t="s">
        <v>74</v>
      </c>
      <c r="C305" s="9" t="s">
        <v>137</v>
      </c>
      <c r="D305" s="9" t="s">
        <v>34</v>
      </c>
      <c r="E305" s="22">
        <f>4236657-907858+243000-100000</f>
        <v>3471799</v>
      </c>
      <c r="F305" s="22">
        <f>4236657</f>
        <v>4236657</v>
      </c>
      <c r="G305" s="22">
        <f>4236657</f>
        <v>4236657</v>
      </c>
    </row>
    <row r="306" spans="1:7" ht="72">
      <c r="A306" s="10" t="s">
        <v>27</v>
      </c>
      <c r="B306" s="9" t="s">
        <v>74</v>
      </c>
      <c r="C306" s="9" t="s">
        <v>137</v>
      </c>
      <c r="D306" s="9" t="s">
        <v>28</v>
      </c>
      <c r="E306" s="22">
        <f>201600-91007.6</f>
        <v>110592.4</v>
      </c>
      <c r="F306" s="22">
        <f>201600-201600</f>
        <v>0</v>
      </c>
      <c r="G306" s="22">
        <f>201600-201600</f>
        <v>0</v>
      </c>
    </row>
    <row r="307" spans="1:7" ht="17.25">
      <c r="A307" s="11" t="s">
        <v>75</v>
      </c>
      <c r="B307" s="8" t="s">
        <v>76</v>
      </c>
      <c r="C307" s="8" t="s">
        <v>0</v>
      </c>
      <c r="D307" s="8" t="s">
        <v>0</v>
      </c>
      <c r="E307" s="21">
        <f>E310+E308</f>
        <v>7279500</v>
      </c>
      <c r="F307" s="21">
        <f>F310+F308</f>
        <v>5671000</v>
      </c>
      <c r="G307" s="21">
        <f>G310+G308</f>
        <v>5688200</v>
      </c>
    </row>
    <row r="308" spans="1:7" ht="51.75">
      <c r="A308" s="11" t="s">
        <v>189</v>
      </c>
      <c r="B308" s="8" t="s">
        <v>76</v>
      </c>
      <c r="C308" s="8" t="s">
        <v>146</v>
      </c>
      <c r="D308" s="8"/>
      <c r="E308" s="21">
        <f>E309</f>
        <v>1638000</v>
      </c>
      <c r="F308" s="21">
        <f>F309</f>
        <v>0</v>
      </c>
      <c r="G308" s="21">
        <f>G309</f>
        <v>0</v>
      </c>
    </row>
    <row r="309" spans="1:7" ht="36">
      <c r="A309" s="10" t="s">
        <v>33</v>
      </c>
      <c r="B309" s="8" t="s">
        <v>76</v>
      </c>
      <c r="C309" s="9" t="s">
        <v>146</v>
      </c>
      <c r="D309" s="9" t="s">
        <v>34</v>
      </c>
      <c r="E309" s="22">
        <f>656357+1254631-214464.23-58523.77</f>
        <v>1638000</v>
      </c>
      <c r="F309" s="21"/>
      <c r="G309" s="21"/>
    </row>
    <row r="310" spans="1:7" ht="75" customHeight="1">
      <c r="A310" s="11" t="s">
        <v>103</v>
      </c>
      <c r="B310" s="8" t="s">
        <v>76</v>
      </c>
      <c r="C310" s="8" t="s">
        <v>137</v>
      </c>
      <c r="D310" s="8" t="s">
        <v>0</v>
      </c>
      <c r="E310" s="21">
        <f>SUM(E311:E314)</f>
        <v>5641500</v>
      </c>
      <c r="F310" s="21">
        <f>SUM(F311:F314)</f>
        <v>5671000</v>
      </c>
      <c r="G310" s="21">
        <f>SUM(G311:G314)</f>
        <v>5688200</v>
      </c>
    </row>
    <row r="311" spans="1:7" ht="144" hidden="1">
      <c r="A311" s="10" t="s">
        <v>6</v>
      </c>
      <c r="B311" s="9" t="s">
        <v>76</v>
      </c>
      <c r="C311" s="9" t="s">
        <v>12</v>
      </c>
      <c r="D311" s="9" t="s">
        <v>7</v>
      </c>
      <c r="E311" s="21"/>
      <c r="F311" s="21"/>
      <c r="G311" s="21"/>
    </row>
    <row r="312" spans="1:7" ht="54" hidden="1">
      <c r="A312" s="10" t="s">
        <v>10</v>
      </c>
      <c r="B312" s="9" t="s">
        <v>76</v>
      </c>
      <c r="C312" s="9" t="s">
        <v>137</v>
      </c>
      <c r="D312" s="9" t="s">
        <v>11</v>
      </c>
      <c r="E312" s="22"/>
      <c r="F312" s="22"/>
      <c r="G312" s="22"/>
    </row>
    <row r="313" spans="1:7" ht="35.25" customHeight="1">
      <c r="A313" s="10" t="s">
        <v>33</v>
      </c>
      <c r="B313" s="9" t="s">
        <v>76</v>
      </c>
      <c r="C313" s="9" t="s">
        <v>137</v>
      </c>
      <c r="D313" s="9" t="s">
        <v>34</v>
      </c>
      <c r="E313" s="22">
        <f>483700+3553000+1690500-283700-40000+238000</f>
        <v>5641500</v>
      </c>
      <c r="F313" s="22">
        <f>427500+3553000+1690500</f>
        <v>5671000</v>
      </c>
      <c r="G313" s="22">
        <f>444700+3553000+1690500</f>
        <v>5688200</v>
      </c>
    </row>
    <row r="314" spans="1:7" ht="72" hidden="1">
      <c r="A314" s="10" t="s">
        <v>27</v>
      </c>
      <c r="B314" s="9" t="s">
        <v>76</v>
      </c>
      <c r="C314" s="9" t="s">
        <v>137</v>
      </c>
      <c r="D314" s="9" t="s">
        <v>28</v>
      </c>
      <c r="E314" s="22"/>
      <c r="F314" s="22"/>
      <c r="G314" s="22"/>
    </row>
    <row r="315" spans="1:7" ht="34.5">
      <c r="A315" s="11" t="s">
        <v>166</v>
      </c>
      <c r="B315" s="8" t="s">
        <v>167</v>
      </c>
      <c r="C315" s="9"/>
      <c r="D315" s="9"/>
      <c r="E315" s="21">
        <f>E316</f>
        <v>493801</v>
      </c>
      <c r="F315" s="21">
        <f>F316</f>
        <v>385943</v>
      </c>
      <c r="G315" s="21">
        <f>G316</f>
        <v>385943</v>
      </c>
    </row>
    <row r="316" spans="1:7" ht="81" customHeight="1">
      <c r="A316" s="11" t="s">
        <v>103</v>
      </c>
      <c r="B316" s="8" t="s">
        <v>167</v>
      </c>
      <c r="C316" s="8" t="s">
        <v>151</v>
      </c>
      <c r="D316" s="8"/>
      <c r="E316" s="21">
        <f>SUM(E317:E318)</f>
        <v>493801</v>
      </c>
      <c r="F316" s="21">
        <f>SUM(F317:F318)</f>
        <v>385943</v>
      </c>
      <c r="G316" s="21">
        <f>SUM(G317:G318)</f>
        <v>385943</v>
      </c>
    </row>
    <row r="317" spans="1:7" ht="144">
      <c r="A317" s="10" t="s">
        <v>6</v>
      </c>
      <c r="B317" s="9" t="s">
        <v>167</v>
      </c>
      <c r="C317" s="9" t="s">
        <v>151</v>
      </c>
      <c r="D317" s="9" t="s">
        <v>7</v>
      </c>
      <c r="E317" s="22">
        <f>360976+43709-26780</f>
        <v>377905</v>
      </c>
      <c r="F317" s="22">
        <f>360976</f>
        <v>360976</v>
      </c>
      <c r="G317" s="22">
        <f>360976</f>
        <v>360976</v>
      </c>
    </row>
    <row r="318" spans="1:7" ht="54">
      <c r="A318" s="10" t="s">
        <v>10</v>
      </c>
      <c r="B318" s="9" t="s">
        <v>167</v>
      </c>
      <c r="C318" s="9" t="s">
        <v>151</v>
      </c>
      <c r="D318" s="9" t="s">
        <v>11</v>
      </c>
      <c r="E318" s="22">
        <f>24967+64149+26780</f>
        <v>115896</v>
      </c>
      <c r="F318" s="22">
        <f>24967</f>
        <v>24967</v>
      </c>
      <c r="G318" s="22">
        <f>24967</f>
        <v>24967</v>
      </c>
    </row>
    <row r="319" spans="1:7" ht="34.5">
      <c r="A319" s="11" t="s">
        <v>77</v>
      </c>
      <c r="B319" s="8" t="s">
        <v>78</v>
      </c>
      <c r="C319" s="8" t="s">
        <v>0</v>
      </c>
      <c r="D319" s="8" t="s">
        <v>0</v>
      </c>
      <c r="E319" s="21">
        <f aca="true" t="shared" si="8" ref="E319:G320">E320</f>
        <v>200000</v>
      </c>
      <c r="F319" s="21">
        <f t="shared" si="8"/>
        <v>0</v>
      </c>
      <c r="G319" s="21">
        <f t="shared" si="8"/>
        <v>0</v>
      </c>
    </row>
    <row r="320" spans="1:7" ht="17.25">
      <c r="A320" s="11" t="s">
        <v>79</v>
      </c>
      <c r="B320" s="8" t="s">
        <v>80</v>
      </c>
      <c r="C320" s="8" t="s">
        <v>0</v>
      </c>
      <c r="D320" s="8" t="s">
        <v>0</v>
      </c>
      <c r="E320" s="21">
        <f t="shared" si="8"/>
        <v>200000</v>
      </c>
      <c r="F320" s="21">
        <f t="shared" si="8"/>
        <v>0</v>
      </c>
      <c r="G320" s="21">
        <f t="shared" si="8"/>
        <v>0</v>
      </c>
    </row>
    <row r="321" spans="1:7" ht="108" customHeight="1">
      <c r="A321" s="11" t="s">
        <v>190</v>
      </c>
      <c r="B321" s="8" t="s">
        <v>80</v>
      </c>
      <c r="C321" s="8" t="s">
        <v>147</v>
      </c>
      <c r="D321" s="8" t="s">
        <v>0</v>
      </c>
      <c r="E321" s="21">
        <f>SUM(E322:E323)</f>
        <v>200000</v>
      </c>
      <c r="F321" s="21">
        <f>SUM(F322:F323)</f>
        <v>0</v>
      </c>
      <c r="G321" s="21">
        <f>SUM(G322:G323)</f>
        <v>0</v>
      </c>
    </row>
    <row r="322" spans="1:7" ht="144">
      <c r="A322" s="10" t="s">
        <v>6</v>
      </c>
      <c r="B322" s="9" t="s">
        <v>80</v>
      </c>
      <c r="C322" s="9" t="s">
        <v>147</v>
      </c>
      <c r="D322" s="9" t="s">
        <v>7</v>
      </c>
      <c r="E322" s="22">
        <v>5250</v>
      </c>
      <c r="F322" s="22"/>
      <c r="G322" s="22"/>
    </row>
    <row r="323" spans="1:7" ht="53.25" customHeight="1">
      <c r="A323" s="10" t="s">
        <v>10</v>
      </c>
      <c r="B323" s="9" t="s">
        <v>80</v>
      </c>
      <c r="C323" s="9" t="s">
        <v>147</v>
      </c>
      <c r="D323" s="9" t="s">
        <v>11</v>
      </c>
      <c r="E323" s="22">
        <f>100000+100000-5250</f>
        <v>194750</v>
      </c>
      <c r="F323" s="22"/>
      <c r="G323" s="22"/>
    </row>
    <row r="324" spans="1:7" ht="18" hidden="1">
      <c r="A324" s="10"/>
      <c r="B324" s="9"/>
      <c r="C324" s="9"/>
      <c r="D324" s="9"/>
      <c r="E324" s="22"/>
      <c r="F324" s="22"/>
      <c r="G324" s="22"/>
    </row>
    <row r="325" spans="1:7" ht="33" customHeight="1">
      <c r="A325" s="11" t="s">
        <v>81</v>
      </c>
      <c r="B325" s="8" t="s">
        <v>82</v>
      </c>
      <c r="C325" s="8" t="s">
        <v>0</v>
      </c>
      <c r="D325" s="8" t="s">
        <v>0</v>
      </c>
      <c r="E325" s="21">
        <f>E326+E339+E334</f>
        <v>1975100</v>
      </c>
      <c r="F325" s="21">
        <f>F326+F339+F334</f>
        <v>1294100</v>
      </c>
      <c r="G325" s="21">
        <f>G326+G339+G334</f>
        <v>1294100</v>
      </c>
    </row>
    <row r="326" spans="1:7" ht="17.25" hidden="1">
      <c r="A326" s="11" t="s">
        <v>83</v>
      </c>
      <c r="B326" s="8" t="s">
        <v>84</v>
      </c>
      <c r="C326" s="8" t="s">
        <v>0</v>
      </c>
      <c r="D326" s="8" t="s">
        <v>0</v>
      </c>
      <c r="E326" s="21">
        <f>E327+E331</f>
        <v>0</v>
      </c>
      <c r="F326" s="21">
        <f>F327+F331</f>
        <v>0</v>
      </c>
      <c r="G326" s="21">
        <f>G327+G331</f>
        <v>0</v>
      </c>
    </row>
    <row r="327" spans="1:7" ht="121.5" hidden="1">
      <c r="A327" s="12" t="s">
        <v>118</v>
      </c>
      <c r="B327" s="8" t="s">
        <v>84</v>
      </c>
      <c r="C327" s="8" t="s">
        <v>52</v>
      </c>
      <c r="D327" s="8" t="s">
        <v>0</v>
      </c>
      <c r="E327" s="21">
        <f>SUM(E328:E330)</f>
        <v>0</v>
      </c>
      <c r="F327" s="21">
        <f>SUM(F328:F330)</f>
        <v>0</v>
      </c>
      <c r="G327" s="21">
        <f>SUM(G328:G330)</f>
        <v>0</v>
      </c>
    </row>
    <row r="328" spans="1:7" ht="144" hidden="1">
      <c r="A328" s="10" t="s">
        <v>6</v>
      </c>
      <c r="B328" s="9" t="s">
        <v>84</v>
      </c>
      <c r="C328" s="9" t="s">
        <v>52</v>
      </c>
      <c r="D328" s="9" t="s">
        <v>7</v>
      </c>
      <c r="E328" s="22"/>
      <c r="F328" s="22"/>
      <c r="G328" s="22"/>
    </row>
    <row r="329" spans="1:7" ht="54" hidden="1">
      <c r="A329" s="10" t="s">
        <v>10</v>
      </c>
      <c r="B329" s="9" t="s">
        <v>84</v>
      </c>
      <c r="C329" s="9" t="s">
        <v>52</v>
      </c>
      <c r="D329" s="9" t="s">
        <v>11</v>
      </c>
      <c r="E329" s="22"/>
      <c r="F329" s="22"/>
      <c r="G329" s="22"/>
    </row>
    <row r="330" spans="1:7" ht="18" hidden="1">
      <c r="A330" s="10" t="s">
        <v>13</v>
      </c>
      <c r="B330" s="9" t="s">
        <v>84</v>
      </c>
      <c r="C330" s="9" t="s">
        <v>52</v>
      </c>
      <c r="D330" s="9" t="s">
        <v>14</v>
      </c>
      <c r="E330" s="22"/>
      <c r="F330" s="22"/>
      <c r="G330" s="22"/>
    </row>
    <row r="331" spans="1:7" ht="69" customHeight="1" hidden="1">
      <c r="A331" s="11" t="s">
        <v>103</v>
      </c>
      <c r="B331" s="8" t="s">
        <v>84</v>
      </c>
      <c r="C331" s="8" t="s">
        <v>12</v>
      </c>
      <c r="D331" s="8" t="s">
        <v>0</v>
      </c>
      <c r="E331" s="21">
        <f>SUM(E332:E333)</f>
        <v>0</v>
      </c>
      <c r="F331" s="21">
        <f>SUM(F332:F333)</f>
        <v>0</v>
      </c>
      <c r="G331" s="21">
        <f>SUM(G332:G333)</f>
        <v>0</v>
      </c>
    </row>
    <row r="332" spans="1:7" ht="144" hidden="1">
      <c r="A332" s="10" t="s">
        <v>6</v>
      </c>
      <c r="B332" s="9" t="s">
        <v>84</v>
      </c>
      <c r="C332" s="9" t="s">
        <v>12</v>
      </c>
      <c r="D332" s="9" t="s">
        <v>7</v>
      </c>
      <c r="E332" s="21"/>
      <c r="F332" s="21"/>
      <c r="G332" s="22"/>
    </row>
    <row r="333" spans="1:7" ht="18" hidden="1">
      <c r="A333" s="10" t="s">
        <v>13</v>
      </c>
      <c r="B333" s="9" t="s">
        <v>84</v>
      </c>
      <c r="C333" s="9" t="s">
        <v>12</v>
      </c>
      <c r="D333" s="9" t="s">
        <v>14</v>
      </c>
      <c r="E333" s="22"/>
      <c r="F333" s="22"/>
      <c r="G333" s="22"/>
    </row>
    <row r="334" spans="1:7" ht="34.5">
      <c r="A334" s="11" t="s">
        <v>175</v>
      </c>
      <c r="B334" s="8" t="s">
        <v>173</v>
      </c>
      <c r="C334" s="9"/>
      <c r="D334" s="9"/>
      <c r="E334" s="21">
        <f>E335+E337</f>
        <v>1325100</v>
      </c>
      <c r="F334" s="21">
        <f>F335+F337</f>
        <v>1294100</v>
      </c>
      <c r="G334" s="21">
        <f>G335+G337</f>
        <v>1294100</v>
      </c>
    </row>
    <row r="335" spans="1:7" ht="121.5">
      <c r="A335" s="11" t="s">
        <v>191</v>
      </c>
      <c r="B335" s="8" t="s">
        <v>173</v>
      </c>
      <c r="C335" s="8" t="s">
        <v>174</v>
      </c>
      <c r="D335" s="9"/>
      <c r="E335" s="21">
        <f>E336</f>
        <v>1325100</v>
      </c>
      <c r="F335" s="21">
        <f>F336</f>
        <v>1294100</v>
      </c>
      <c r="G335" s="21">
        <f>G336</f>
        <v>1294100</v>
      </c>
    </row>
    <row r="336" spans="1:7" ht="29.25" customHeight="1">
      <c r="A336" s="10" t="s">
        <v>13</v>
      </c>
      <c r="B336" s="8" t="s">
        <v>173</v>
      </c>
      <c r="C336" s="9" t="s">
        <v>174</v>
      </c>
      <c r="D336" s="9" t="s">
        <v>14</v>
      </c>
      <c r="E336" s="22">
        <f>1294100+31000</f>
        <v>1325100</v>
      </c>
      <c r="F336" s="22">
        <f>1294100</f>
        <v>1294100</v>
      </c>
      <c r="G336" s="22">
        <f>1294100</f>
        <v>1294100</v>
      </c>
    </row>
    <row r="337" spans="1:7" ht="69" hidden="1">
      <c r="A337" s="11" t="s">
        <v>103</v>
      </c>
      <c r="B337" s="8" t="s">
        <v>173</v>
      </c>
      <c r="C337" s="8" t="s">
        <v>151</v>
      </c>
      <c r="D337" s="9"/>
      <c r="E337" s="21">
        <f>E338</f>
        <v>0</v>
      </c>
      <c r="F337" s="21">
        <f>F338</f>
        <v>0</v>
      </c>
      <c r="G337" s="21">
        <f>G338</f>
        <v>0</v>
      </c>
    </row>
    <row r="338" spans="1:7" ht="18" customHeight="1" hidden="1">
      <c r="A338" s="10" t="s">
        <v>13</v>
      </c>
      <c r="B338" s="8" t="s">
        <v>173</v>
      </c>
      <c r="C338" s="9" t="s">
        <v>151</v>
      </c>
      <c r="D338" s="9" t="s">
        <v>14</v>
      </c>
      <c r="E338" s="22"/>
      <c r="F338" s="22"/>
      <c r="G338" s="22"/>
    </row>
    <row r="339" spans="1:7" ht="34.5">
      <c r="A339" s="11" t="s">
        <v>85</v>
      </c>
      <c r="B339" s="8" t="s">
        <v>86</v>
      </c>
      <c r="C339" s="8" t="s">
        <v>0</v>
      </c>
      <c r="D339" s="8" t="s">
        <v>0</v>
      </c>
      <c r="E339" s="21">
        <f>E340+E343</f>
        <v>650000</v>
      </c>
      <c r="F339" s="21">
        <f>F340+F343</f>
        <v>0</v>
      </c>
      <c r="G339" s="21">
        <f>G340+G343</f>
        <v>0</v>
      </c>
    </row>
    <row r="340" spans="1:7" ht="130.5" customHeight="1">
      <c r="A340" s="11" t="s">
        <v>191</v>
      </c>
      <c r="B340" s="8" t="s">
        <v>86</v>
      </c>
      <c r="C340" s="8" t="s">
        <v>148</v>
      </c>
      <c r="D340" s="8" t="s">
        <v>0</v>
      </c>
      <c r="E340" s="21">
        <f>SUM(E341:E342)</f>
        <v>650000</v>
      </c>
      <c r="F340" s="21">
        <f>SUM(F341:F342)</f>
        <v>0</v>
      </c>
      <c r="G340" s="21">
        <f>SUM(G341:G342)</f>
        <v>0</v>
      </c>
    </row>
    <row r="341" spans="1:7" ht="57" customHeight="1" hidden="1">
      <c r="A341" s="10" t="s">
        <v>10</v>
      </c>
      <c r="B341" s="9" t="s">
        <v>86</v>
      </c>
      <c r="C341" s="9" t="s">
        <v>52</v>
      </c>
      <c r="D341" s="9" t="s">
        <v>11</v>
      </c>
      <c r="E341" s="22"/>
      <c r="F341" s="22"/>
      <c r="G341" s="22"/>
    </row>
    <row r="342" spans="1:7" ht="21" customHeight="1">
      <c r="A342" s="10" t="s">
        <v>13</v>
      </c>
      <c r="B342" s="9" t="s">
        <v>86</v>
      </c>
      <c r="C342" s="9" t="s">
        <v>148</v>
      </c>
      <c r="D342" s="9" t="s">
        <v>14</v>
      </c>
      <c r="E342" s="22">
        <f>590000+60000</f>
        <v>650000</v>
      </c>
      <c r="F342" s="22"/>
      <c r="G342" s="22"/>
    </row>
    <row r="343" spans="1:7" s="25" customFormat="1" ht="84.75" customHeight="1" hidden="1">
      <c r="A343" s="11" t="s">
        <v>103</v>
      </c>
      <c r="B343" s="8" t="s">
        <v>86</v>
      </c>
      <c r="C343" s="8" t="s">
        <v>151</v>
      </c>
      <c r="D343" s="8"/>
      <c r="E343" s="21">
        <f>E344</f>
        <v>0</v>
      </c>
      <c r="F343" s="21">
        <f>F344</f>
        <v>0</v>
      </c>
      <c r="G343" s="21">
        <f>G344</f>
        <v>0</v>
      </c>
    </row>
    <row r="344" spans="1:7" ht="21" customHeight="1" hidden="1">
      <c r="A344" s="10" t="s">
        <v>13</v>
      </c>
      <c r="B344" s="9" t="s">
        <v>86</v>
      </c>
      <c r="C344" s="9" t="s">
        <v>151</v>
      </c>
      <c r="D344" s="9" t="s">
        <v>14</v>
      </c>
      <c r="E344" s="22"/>
      <c r="F344" s="22"/>
      <c r="G344" s="22"/>
    </row>
    <row r="345" spans="1:7" ht="51.75" hidden="1">
      <c r="A345" s="11" t="s">
        <v>87</v>
      </c>
      <c r="B345" s="8" t="s">
        <v>88</v>
      </c>
      <c r="C345" s="8" t="s">
        <v>0</v>
      </c>
      <c r="D345" s="8" t="s">
        <v>0</v>
      </c>
      <c r="E345" s="21">
        <f>E346</f>
        <v>0</v>
      </c>
      <c r="F345" s="21">
        <f aca="true" t="shared" si="9" ref="F345:G347">F346</f>
        <v>0</v>
      </c>
      <c r="G345" s="21">
        <f t="shared" si="9"/>
        <v>0</v>
      </c>
    </row>
    <row r="346" spans="1:7" ht="51.75" hidden="1">
      <c r="A346" s="11" t="s">
        <v>89</v>
      </c>
      <c r="B346" s="8" t="s">
        <v>90</v>
      </c>
      <c r="C346" s="8" t="s">
        <v>0</v>
      </c>
      <c r="D346" s="8" t="s">
        <v>0</v>
      </c>
      <c r="E346" s="21">
        <f>E347</f>
        <v>0</v>
      </c>
      <c r="F346" s="21">
        <f t="shared" si="9"/>
        <v>0</v>
      </c>
      <c r="G346" s="21">
        <f t="shared" si="9"/>
        <v>0</v>
      </c>
    </row>
    <row r="347" spans="1:7" ht="69" hidden="1">
      <c r="A347" s="11" t="s">
        <v>103</v>
      </c>
      <c r="B347" s="8" t="s">
        <v>90</v>
      </c>
      <c r="C347" s="8" t="s">
        <v>137</v>
      </c>
      <c r="D347" s="8" t="s">
        <v>0</v>
      </c>
      <c r="E347" s="21">
        <f>E348</f>
        <v>0</v>
      </c>
      <c r="F347" s="21">
        <f t="shared" si="9"/>
        <v>0</v>
      </c>
      <c r="G347" s="21">
        <f t="shared" si="9"/>
        <v>0</v>
      </c>
    </row>
    <row r="348" spans="1:7" ht="57.75" customHeight="1" hidden="1">
      <c r="A348" s="10" t="s">
        <v>29</v>
      </c>
      <c r="B348" s="9" t="s">
        <v>90</v>
      </c>
      <c r="C348" s="9" t="s">
        <v>137</v>
      </c>
      <c r="D348" s="9" t="s">
        <v>30</v>
      </c>
      <c r="E348" s="22"/>
      <c r="F348" s="22"/>
      <c r="G348" s="22"/>
    </row>
    <row r="349" spans="1:7" ht="121.5">
      <c r="A349" s="11" t="s">
        <v>130</v>
      </c>
      <c r="B349" s="8" t="s">
        <v>131</v>
      </c>
      <c r="C349" s="9"/>
      <c r="D349" s="9"/>
      <c r="E349" s="21">
        <f aca="true" t="shared" si="10" ref="E349:G351">E350</f>
        <v>17550848.49</v>
      </c>
      <c r="F349" s="21">
        <f t="shared" si="10"/>
        <v>9176000</v>
      </c>
      <c r="G349" s="21">
        <f t="shared" si="10"/>
        <v>9176000</v>
      </c>
    </row>
    <row r="350" spans="1:7" ht="34.5">
      <c r="A350" s="23" t="s">
        <v>132</v>
      </c>
      <c r="B350" s="8" t="s">
        <v>133</v>
      </c>
      <c r="C350" s="9"/>
      <c r="D350" s="9"/>
      <c r="E350" s="21">
        <f t="shared" si="10"/>
        <v>17550848.49</v>
      </c>
      <c r="F350" s="21">
        <f t="shared" si="10"/>
        <v>9176000</v>
      </c>
      <c r="G350" s="21">
        <f t="shared" si="10"/>
        <v>9176000</v>
      </c>
    </row>
    <row r="351" spans="1:7" ht="69">
      <c r="A351" s="11" t="s">
        <v>103</v>
      </c>
      <c r="B351" s="8" t="s">
        <v>133</v>
      </c>
      <c r="C351" s="8" t="s">
        <v>137</v>
      </c>
      <c r="D351" s="9"/>
      <c r="E351" s="21">
        <f t="shared" si="10"/>
        <v>17550848.49</v>
      </c>
      <c r="F351" s="21">
        <f t="shared" si="10"/>
        <v>9176000</v>
      </c>
      <c r="G351" s="21">
        <f t="shared" si="10"/>
        <v>9176000</v>
      </c>
    </row>
    <row r="352" spans="1:7" ht="18">
      <c r="A352" s="10" t="s">
        <v>25</v>
      </c>
      <c r="B352" s="9" t="s">
        <v>133</v>
      </c>
      <c r="C352" s="9" t="s">
        <v>137</v>
      </c>
      <c r="D352" s="9" t="s">
        <v>26</v>
      </c>
      <c r="E352" s="22">
        <f>9176000+8000000+371100+3748.49</f>
        <v>17550848.49</v>
      </c>
      <c r="F352" s="22">
        <f>9176000</f>
        <v>9176000</v>
      </c>
      <c r="G352" s="22">
        <f>9176000</f>
        <v>9176000</v>
      </c>
    </row>
    <row r="353" spans="1:7" ht="17.25">
      <c r="A353" s="13" t="s">
        <v>99</v>
      </c>
      <c r="B353" s="14"/>
      <c r="C353" s="14"/>
      <c r="D353" s="14"/>
      <c r="E353" s="24">
        <f>E9+E98+E120+E139+E269+E292+E319+E325+E345+E89+E349</f>
        <v>375183352.9</v>
      </c>
      <c r="F353" s="24">
        <f>F9+F98+F120+F139+F269+F292+F319+F325+F345+F89+F349</f>
        <v>313279233.75</v>
      </c>
      <c r="G353" s="24">
        <f>G9+G98+G120+G139+G269+G292+G319+G325+G345+G89+G349</f>
        <v>329659667.96000004</v>
      </c>
    </row>
    <row r="355" spans="5:7" ht="12.75">
      <c r="E355" s="18"/>
      <c r="F355" s="18"/>
      <c r="G355" s="18"/>
    </row>
    <row r="357" spans="5:7" ht="12.75">
      <c r="E357" s="18"/>
      <c r="F357" s="20"/>
      <c r="G357" s="20"/>
    </row>
  </sheetData>
  <sheetProtection/>
  <mergeCells count="3">
    <mergeCell ref="A3:G3"/>
    <mergeCell ref="F1:G1"/>
    <mergeCell ref="C2:G2"/>
  </mergeCells>
  <printOptions/>
  <pageMargins left="0.75" right="0.75" top="1" bottom="1" header="0.5" footer="0.5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2016-11-11T12:34:09Z</cp:lastPrinted>
  <dcterms:created xsi:type="dcterms:W3CDTF">2002-03-11T10:22:12Z</dcterms:created>
  <dcterms:modified xsi:type="dcterms:W3CDTF">2022-01-11T06:07:50Z</dcterms:modified>
  <cp:category/>
  <cp:version/>
  <cp:contentType/>
  <cp:contentStatus/>
</cp:coreProperties>
</file>