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420" windowWidth="15456" windowHeight="10200" activeTab="0"/>
  </bookViews>
  <sheets>
    <sheet name="2022-2024" sheetId="1" r:id="rId1"/>
  </sheets>
  <definedNames/>
  <calcPr fullCalcOnLoad="1"/>
</workbook>
</file>

<file path=xl/sharedStrings.xml><?xml version="1.0" encoding="utf-8"?>
<sst xmlns="http://schemas.openxmlformats.org/spreadsheetml/2006/main" count="1264" uniqueCount="208">
  <si>
    <t/>
  </si>
  <si>
    <t>ОБЩЕГОСУДАРСТВЕННЫЕ ВОПРОСЫ</t>
  </si>
  <si>
    <t>0100</t>
  </si>
  <si>
    <t>Функционирование высшего должностного лица субъекта Российской  Федерации и муниципального образования</t>
  </si>
  <si>
    <t>0102</t>
  </si>
  <si>
    <t>90 0 0000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</si>
  <si>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</si>
  <si>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</si>
  <si>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</si>
  <si>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</si>
  <si>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Закупка товаров, работ и услуг для государственных (муниципальных) нужд</t>
  </si>
  <si>
    <t>200</t>
  </si>
  <si>
    <t>99 0 0000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</si>
  <si>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</si>
  <si>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</si>
  <si>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</si>
  <si>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</si>
  <si>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</si>
  <si>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</si>
  <si>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</si>
  <si>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</si>
  <si>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</si>
  <si>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</si>
  <si>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</si>
  <si>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</si>
  <si>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Межбюджетные трансферты</t>
  </si>
  <si>
    <t>500</t>
  </si>
  <si>
    <t>Предоставление субсидий бюджетным, автономным учреждениям и иным некоммерческим организациям</t>
  </si>
  <si>
    <t>600</t>
  </si>
  <si>
    <t>Обслуживание государственного (муниципального) долга</t>
  </si>
  <si>
    <t>700</t>
  </si>
  <si>
    <t>Капитальные вложения в объекты недвижимого имущества государственной (муниципальной) собственности</t>
  </si>
  <si>
    <t>400</t>
  </si>
  <si>
    <t>Социальное обеспечение и иные выплаты населению</t>
  </si>
  <si>
    <t>300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</si>
  <si>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</si>
  <si>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</si>
  <si>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</si>
  <si>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</si>
  <si>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</si>
  <si>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</si>
  <si>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06 2 0000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</si>
  <si>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</si>
  <si>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</si>
  <si>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</si>
  <si>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</si>
  <si>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</si>
  <si>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</si>
  <si>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</si>
  <si>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</si>
  <si>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</si>
  <si>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</si>
  <si>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05 0 0000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</si>
  <si>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</si>
  <si>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</si>
  <si>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</si>
  <si>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</si>
  <si>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</si>
  <si>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</si>
  <si>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</si>
  <si>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</si>
  <si>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04 0 0000</t>
  </si>
  <si>
    <t>14 0 0000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</si>
  <si>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</si>
  <si>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</si>
  <si>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</si>
  <si>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</si>
  <si>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</si>
  <si>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</si>
  <si>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</si>
  <si>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</si>
  <si>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</si>
  <si>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</si>
  <si>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</si>
  <si>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</si>
  <si>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</si>
  <si>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</si>
  <si>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</si>
  <si>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</si>
  <si>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</si>
  <si>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</si>
  <si>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</si>
  <si>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</si>
  <si>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Телевидение и радиовещание</t>
  </si>
  <si>
    <t>1201</t>
  </si>
  <si>
    <t>Другие вопросы в области средств массовой информации</t>
  </si>
  <si>
    <t>1204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</si>
  <si>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</si>
  <si>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</si>
  <si>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</si>
  <si>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</si>
  <si>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 xml:space="preserve">Наименование </t>
  </si>
  <si>
    <t>1</t>
  </si>
  <si>
    <t>2</t>
  </si>
  <si>
    <t>3</t>
  </si>
  <si>
    <t>4</t>
  </si>
  <si>
    <t>Вид расходов</t>
  </si>
  <si>
    <t>5</t>
  </si>
  <si>
    <t>Раздел Подраздел</t>
  </si>
  <si>
    <t>ИТОГО</t>
  </si>
  <si>
    <t>02 0 0000</t>
  </si>
  <si>
    <t>09 0 0000</t>
  </si>
  <si>
    <t>Непрограммные направления обеспечения деятельности муниципальных органов Киквидзенского муниципального района</t>
  </si>
  <si>
    <t>Непрограммные расходы  органов муниципальной власти Киквидзенского муниципального района</t>
  </si>
  <si>
    <t>Непрограммные расходы органов муниципальной власти Киквидзенского муниципального района</t>
  </si>
  <si>
    <t xml:space="preserve">Подпрограмма "Педагогические кадры" </t>
  </si>
  <si>
    <t>Подпрограмма "Наша школа"</t>
  </si>
  <si>
    <t>Подпрограмма "Одаренные дети"</t>
  </si>
  <si>
    <t>Подпрограмма "Компьютеризация и развитие единой образовательной информационной среды"</t>
  </si>
  <si>
    <t>Подпрограмма "Обеспечение комплексной безопасности образовательных учреждений"</t>
  </si>
  <si>
    <t>Подпрограмма "Аттестация рабочих мест по условиям труда в образовательных организациях Киквидзенского муниципального района Волгоградской области"</t>
  </si>
  <si>
    <t>06 1 0000</t>
  </si>
  <si>
    <t>06 3 0000</t>
  </si>
  <si>
    <t>06 4 0000</t>
  </si>
  <si>
    <t>06 5 0000</t>
  </si>
  <si>
    <t>06 6 0000</t>
  </si>
  <si>
    <t>06 7 0000</t>
  </si>
  <si>
    <t>Муниципальная программа  "Повышение энергоэффективности и энергосбережения в бюджетном секторе Киквидзенского муниципального района" на 2014-2016 годы</t>
  </si>
  <si>
    <t>Муниципальная программа  "Информирование населения о деятельности органов местного самоуправления на территории Киквидзенского муниципального района Волгоградской области на 2014-2016 годы"</t>
  </si>
  <si>
    <t>6</t>
  </si>
  <si>
    <t>рублей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</si>
  <si>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</si>
  <si>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</si>
  <si>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0300</t>
  </si>
  <si>
    <t>0314</t>
  </si>
  <si>
    <t>7</t>
  </si>
  <si>
    <t>0503</t>
  </si>
  <si>
    <t>Благоустройство</t>
  </si>
  <si>
    <t>0705</t>
  </si>
  <si>
    <t>Профессиональная подготовка, переподготовка и повышение квалификации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</si>
  <si>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</si>
  <si>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</si>
  <si>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</si>
  <si>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</si>
  <si>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Целевая статья (государственная программа и непрограммное направление деятельности)</t>
  </si>
  <si>
    <t xml:space="preserve">90 0 </t>
  </si>
  <si>
    <t xml:space="preserve">02 0 </t>
  </si>
  <si>
    <t xml:space="preserve">99 0 </t>
  </si>
  <si>
    <t xml:space="preserve">03 0 </t>
  </si>
  <si>
    <t xml:space="preserve">04 0 </t>
  </si>
  <si>
    <t xml:space="preserve">16 0 </t>
  </si>
  <si>
    <t xml:space="preserve">06 0 </t>
  </si>
  <si>
    <t xml:space="preserve">01 0 </t>
  </si>
  <si>
    <t xml:space="preserve">08 0 </t>
  </si>
  <si>
    <t xml:space="preserve">06 6 </t>
  </si>
  <si>
    <t xml:space="preserve">09 0 </t>
  </si>
  <si>
    <t xml:space="preserve">12 0 </t>
  </si>
  <si>
    <t xml:space="preserve">10 0 </t>
  </si>
  <si>
    <t xml:space="preserve">05 0 </t>
  </si>
  <si>
    <t>Судебная система</t>
  </si>
  <si>
    <t>0105</t>
  </si>
  <si>
    <t>99 0</t>
  </si>
  <si>
    <t>25 0</t>
  </si>
  <si>
    <t>Муниципальная программа "Формирование доступной среды жизнедеятельности для инвалидов и маломобильных групп населения в Киквидзенском муниципальном районе Волгоградской области" на 2017-2020 годы</t>
  </si>
  <si>
    <t>20 0</t>
  </si>
  <si>
    <t>23 0</t>
  </si>
  <si>
    <t>24 0</t>
  </si>
  <si>
    <t>06 0</t>
  </si>
  <si>
    <t>06 2</t>
  </si>
  <si>
    <t xml:space="preserve">06 2 </t>
  </si>
  <si>
    <t>Муниципальная программа  "Поддержка и развитие культуры в Киквидзенском муниципальном районе" на 2017-2020 годы</t>
  </si>
  <si>
    <t>08 0</t>
  </si>
  <si>
    <t>Муниципальная программа "Совершенствование системы бухгалтерского учета и отчетности в муниципальных учреждениях Киквидзенского муниципального района" на 2017-2020 годы</t>
  </si>
  <si>
    <t>22 0</t>
  </si>
  <si>
    <t>Другие вопросы в области культуры, кинематографии</t>
  </si>
  <si>
    <t>0804</t>
  </si>
  <si>
    <t>09 0</t>
  </si>
  <si>
    <t>Другие вопросы в области социальной политики</t>
  </si>
  <si>
    <t>1006</t>
  </si>
  <si>
    <t>0703</t>
  </si>
  <si>
    <t>Дополнительное образование детей</t>
  </si>
  <si>
    <t>90 0</t>
  </si>
  <si>
    <t>Капитальные вложения в объекты государственной (муниципальной) собственности</t>
  </si>
  <si>
    <t xml:space="preserve"> 2022 год</t>
  </si>
  <si>
    <t>1202</t>
  </si>
  <si>
    <t>05 0</t>
  </si>
  <si>
    <t>Периодическая печать и издательства</t>
  </si>
  <si>
    <t xml:space="preserve"> 2023 год</t>
  </si>
  <si>
    <t>Муниципальная программа «Повышение эффективности нормотворческой деятельности в Киквидзенском муниципальном районе Волгоградской области» на 2021 – 2025 годы</t>
  </si>
  <si>
    <t>Муниципальная программа «Развитие муниципальной службы в администрации Киквидзенского муниципального района Волгоградской области»  на 2021-2025 годы</t>
  </si>
  <si>
    <t>Муниципальная программа «Повышение эффективности деятельности Администрации Киквидзенского муниципального района Волгоградской области по выполнению полномочий и  муниципальных функций» на 2021-2025 годы</t>
  </si>
  <si>
    <t xml:space="preserve">Муниципальная программа  «Повышение эффективности осуществления бюджетного процесса и  финансового контроля в Киквидзенском муниципальном районе Волгоградской области» на 2021 -2025 годы </t>
  </si>
  <si>
    <t>Муниципальная программа  «Совершенствование системы управления муниципальным имуществом Киквидзенского муниципального района Волгоградской области» на 2021-2025 годы</t>
  </si>
  <si>
    <t>Муниципальная программа «Совершенствование системы бухгалтерского учета и отчетности в муниципальных учреждениях Киквидзенского муниципального района Волгоградской области» на 2021-2025 годы</t>
  </si>
  <si>
    <t>Муниципальная программа  «Поддержка  казачьих обществ Киквидзенского муниципального района Волгоградской области» на 2021 – 2025 годы</t>
  </si>
  <si>
    <t>Муниципальная программа «Поддержка и развитие жилищно-коммунального хозяйства Киквидзенского муниципального района Волгоградской области» на 2021-2025 годы</t>
  </si>
  <si>
    <t>Муниципальная программа  «Развитие образования в Киквидзенском муниципальном районе» на 2021-2025 годы</t>
  </si>
  <si>
    <t>Муниципальная программа  «Поддержка и развитие культуры и искусства в Киквидзенском муниципальном районе Волгоградской области» на 2021-2025 годы</t>
  </si>
  <si>
    <t>Муниципальная программа  «Поддержка и развитие молодежной политики в Киквидзенском муниципальном районе Волгоградской области» на 2021-2025 годы</t>
  </si>
  <si>
    <t>Муниципальная программа  Молодой семье – доступное жилье» на 2021- 2025 годы</t>
  </si>
  <si>
    <t>Муниципальная программа  «Развитие физической культуры и спорта  в Киквидзенском муниципальном районе Волгоградской области» на 2021-2025 годы</t>
  </si>
  <si>
    <t>Муниципальная программа  «Информирование населения о деятельности органов местного самоуправления на территории Киквидзенского муниципального района Волгоградской области»  на 2021-2025 годы</t>
  </si>
  <si>
    <t xml:space="preserve">06 1 </t>
  </si>
  <si>
    <t>06 1</t>
  </si>
  <si>
    <t>Подпрограмма "Обеспечение функционирования муниципальной системы образования"</t>
  </si>
  <si>
    <t>Подпрограмма "Развитие дошкольного, общего и дополнительного образования"</t>
  </si>
  <si>
    <t xml:space="preserve">Муниципальная программа  «Повышение энергоэффективности и энергосбережения в бюджетном секторе
Киквидзенского муниципального района Волгоградской области» на 2021-2025 годы
</t>
  </si>
  <si>
    <t xml:space="preserve">14 0 </t>
  </si>
  <si>
    <t>17 0</t>
  </si>
  <si>
    <t>02 0</t>
  </si>
  <si>
    <t xml:space="preserve">06  </t>
  </si>
  <si>
    <t>Подпрограмма "Обеспечение персонифицированного финансирования дополнительного образования детей"</t>
  </si>
  <si>
    <t>06 3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</si>
  <si>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</si>
  <si>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</si>
  <si>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Распределение бюджетных ассигнований по разделам, подразделам, целевым статьям и видам расходов классификации расходов  бюджета Киквидзенского муниципального района на 2022 год и плановый период 2023-2024 годов</t>
  </si>
  <si>
    <t xml:space="preserve"> 2024 год</t>
  </si>
  <si>
    <t>Приложение № 5                             к Решению Киквидзенской районной Думы                                      от 15.12.2021 года № 191/31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</si>
</sst>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00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1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173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173" fontId="4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center" vertical="top"/>
    </xf>
    <xf numFmtId="173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vertical="center" wrapText="1"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9" fontId="6" fillId="0" borderId="0" xfId="52" applyNumberFormat="1" applyFont="1" applyBorder="1" applyAlignment="1">
      <alignment horizontal="justify" vertical="top" wrapText="1"/>
      <protection/>
    </xf>
    <xf numFmtId="4" fontId="4" fillId="0" borderId="0" xfId="0" applyNumberFormat="1" applyFont="1" applyBorder="1" applyAlignment="1">
      <alignment horizontal="right" vertical="top"/>
    </xf>
    <xf numFmtId="0" fontId="7" fillId="0" borderId="0" xfId="0" applyFont="1" applyAlignment="1">
      <alignment/>
    </xf>
    <xf numFmtId="49" fontId="4" fillId="32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vertical="center" wrapText="1"/>
    </xf>
    <xf numFmtId="173" fontId="4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9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1" width="41.28125" style="0" customWidth="1"/>
    <col min="2" max="2" width="14.28125" style="0" customWidth="1"/>
    <col min="3" max="3" width="20.28125" style="0" customWidth="1"/>
    <col min="4" max="4" width="13.28125" style="0" customWidth="1"/>
    <col min="5" max="5" width="18.8515625" style="0" customWidth="1"/>
    <col min="6" max="6" width="19.140625" style="0" customWidth="1"/>
    <col min="7" max="7" width="19.8515625" style="0" customWidth="1"/>
    <col min="10" max="10" width="12.7109375" style="0" bestFit="1" customWidth="1"/>
  </cols>
  <sheetData>
    <row r="1" spans="1:7" ht="78" customHeight="1">
      <c r="A1" s="4"/>
      <c r="B1" s="5"/>
      <c r="C1" s="16"/>
      <c r="D1" s="16"/>
      <c r="E1" s="16"/>
      <c r="F1" s="30" t="s">
        <v>207</v>
      </c>
      <c r="G1" s="30"/>
    </row>
    <row r="2" spans="1:7" ht="63.75" customHeight="1">
      <c r="A2" s="29" t="s">
        <v>205</v>
      </c>
      <c r="B2" s="29"/>
      <c r="C2" s="29"/>
      <c r="D2" s="29"/>
      <c r="E2" s="29"/>
      <c r="F2" s="29"/>
      <c r="G2" s="29"/>
    </row>
    <row r="3" spans="1:5" ht="17.25">
      <c r="A3" s="6"/>
      <c r="B3" s="6"/>
      <c r="C3" s="6"/>
      <c r="D3" s="6"/>
      <c r="E3" s="6"/>
    </row>
    <row r="4" spans="1:7" ht="18">
      <c r="A4" s="6"/>
      <c r="B4" s="6"/>
      <c r="C4" s="6"/>
      <c r="D4" s="5"/>
      <c r="E4" s="15"/>
      <c r="G4" s="15" t="s">
        <v>120</v>
      </c>
    </row>
    <row r="5" spans="1:10" ht="104.25">
      <c r="A5" s="2" t="s">
        <v>91</v>
      </c>
      <c r="B5" s="1" t="s">
        <v>98</v>
      </c>
      <c r="C5" s="1" t="s">
        <v>134</v>
      </c>
      <c r="D5" s="1" t="s">
        <v>96</v>
      </c>
      <c r="E5" s="3" t="s">
        <v>173</v>
      </c>
      <c r="F5" s="3" t="s">
        <v>177</v>
      </c>
      <c r="G5" s="3" t="s">
        <v>206</v>
      </c>
      <c r="J5" s="20"/>
    </row>
    <row r="6" spans="1:7" ht="17.25">
      <c r="A6" s="2" t="s">
        <v>92</v>
      </c>
      <c r="B6" s="1" t="s">
        <v>93</v>
      </c>
      <c r="C6" s="1" t="s">
        <v>94</v>
      </c>
      <c r="D6" s="1" t="s">
        <v>95</v>
      </c>
      <c r="E6" s="2" t="s">
        <v>97</v>
      </c>
      <c r="F6" s="2" t="s">
        <v>119</v>
      </c>
      <c r="G6" s="2" t="s">
        <v>125</v>
      </c>
    </row>
    <row r="7" spans="1:7" ht="17.25">
      <c r="A7" s="7"/>
      <c r="B7" s="7"/>
      <c r="C7" s="7"/>
      <c r="D7" s="7"/>
      <c r="E7" s="7"/>
      <c r="F7" s="7"/>
      <c r="G7" s="7"/>
    </row>
    <row r="8" spans="1:7" ht="40.5" customHeight="1">
      <c r="A8" s="11" t="s">
        <v>1</v>
      </c>
      <c r="B8" s="8" t="s">
        <v>2</v>
      </c>
      <c r="C8" s="8" t="s">
        <v>0</v>
      </c>
      <c r="D8" s="8" t="s">
        <v>0</v>
      </c>
      <c r="E8" s="21">
        <f>E9+E12+E23+E44+E57+E61+E64+E41</f>
        <v>52428589</v>
      </c>
      <c r="F8" s="21">
        <f>F9+F12+F23+F44+F57+F61+F64+F41</f>
        <v>56791233</v>
      </c>
      <c r="G8" s="21">
        <f>G9+G12+G23+G44+G57+G61+G64+G41</f>
        <v>59177663</v>
      </c>
    </row>
    <row r="9" spans="1:7" ht="69">
      <c r="A9" s="11" t="s">
        <v>3</v>
      </c>
      <c r="B9" s="8" t="s">
        <v>4</v>
      </c>
      <c r="C9" s="8" t="s">
        <v>0</v>
      </c>
      <c r="D9" s="8" t="s">
        <v>0</v>
      </c>
      <c r="E9" s="21">
        <f aca="true" t="shared" si="0" ref="E9:G10">E10</f>
        <v>1622532</v>
      </c>
      <c r="F9" s="21">
        <f t="shared" si="0"/>
        <v>1622532</v>
      </c>
      <c r="G9" s="21">
        <f t="shared" si="0"/>
        <v>1622532</v>
      </c>
    </row>
    <row r="10" spans="1:7" ht="99.75" customHeight="1">
      <c r="A10" s="11" t="s">
        <v>102</v>
      </c>
      <c r="B10" s="8" t="s">
        <v>4</v>
      </c>
      <c r="C10" s="8" t="s">
        <v>135</v>
      </c>
      <c r="D10" s="8" t="s">
        <v>0</v>
      </c>
      <c r="E10" s="21">
        <f t="shared" si="0"/>
        <v>1622532</v>
      </c>
      <c r="F10" s="21">
        <f t="shared" si="0"/>
        <v>1622532</v>
      </c>
      <c r="G10" s="21">
        <f t="shared" si="0"/>
        <v>1622532</v>
      </c>
    </row>
    <row r="11" spans="1:7" ht="154.5" customHeight="1">
      <c r="A11" s="10" t="s">
        <v>6</v>
      </c>
      <c r="B11" s="9" t="s">
        <v>4</v>
      </c>
      <c r="C11" s="9" t="s">
        <v>135</v>
      </c>
      <c r="D11" s="9" t="s">
        <v>7</v>
      </c>
      <c r="E11" s="22">
        <f>1622532</f>
        <v>1622532</v>
      </c>
      <c r="F11" s="22">
        <f>1622532</f>
        <v>1622532</v>
      </c>
      <c r="G11" s="22">
        <f>1622532</f>
        <v>1622532</v>
      </c>
    </row>
    <row r="12" spans="1:7" ht="114" customHeight="1">
      <c r="A12" s="11" t="s">
        <v>8</v>
      </c>
      <c r="B12" s="8" t="s">
        <v>9</v>
      </c>
      <c r="C12" s="8" t="s">
        <v>0</v>
      </c>
      <c r="D12" s="8" t="s">
        <v>0</v>
      </c>
      <c r="E12" s="21">
        <f>E13+E21+E17</f>
        <v>726847</v>
      </c>
      <c r="F12" s="21">
        <f>F13+F21+F17</f>
        <v>726847</v>
      </c>
      <c r="G12" s="21">
        <f>G13+G21+G17</f>
        <v>726847</v>
      </c>
    </row>
    <row r="13" spans="1:7" ht="117" customHeight="1">
      <c r="A13" s="11" t="s">
        <v>178</v>
      </c>
      <c r="B13" s="8" t="s">
        <v>9</v>
      </c>
      <c r="C13" s="8" t="s">
        <v>198</v>
      </c>
      <c r="D13" s="8" t="s">
        <v>0</v>
      </c>
      <c r="E13" s="21">
        <f>SUM(E14:E16)</f>
        <v>726847</v>
      </c>
      <c r="F13" s="21">
        <f>SUM(F14:F16)</f>
        <v>726847</v>
      </c>
      <c r="G13" s="21">
        <f>SUM(G14:G16)</f>
        <v>726847</v>
      </c>
    </row>
    <row r="14" spans="1:7" ht="128.25" customHeight="1">
      <c r="A14" s="10" t="s">
        <v>6</v>
      </c>
      <c r="B14" s="9" t="s">
        <v>9</v>
      </c>
      <c r="C14" s="9" t="s">
        <v>198</v>
      </c>
      <c r="D14" s="9" t="s">
        <v>7</v>
      </c>
      <c r="E14" s="22">
        <f>726597</f>
        <v>726597</v>
      </c>
      <c r="F14" s="22">
        <f>726597</f>
        <v>726597</v>
      </c>
      <c r="G14" s="22">
        <f>726597</f>
        <v>726597</v>
      </c>
    </row>
    <row r="15" spans="1:7" ht="60" customHeight="1">
      <c r="A15" s="10" t="s">
        <v>10</v>
      </c>
      <c r="B15" s="9" t="s">
        <v>9</v>
      </c>
      <c r="C15" s="9" t="s">
        <v>198</v>
      </c>
      <c r="D15" s="9" t="s">
        <v>11</v>
      </c>
      <c r="E15" s="22">
        <f>250</f>
        <v>250</v>
      </c>
      <c r="F15" s="22">
        <f>250</f>
        <v>250</v>
      </c>
      <c r="G15" s="22">
        <f>250</f>
        <v>250</v>
      </c>
    </row>
    <row r="16" spans="1:7" ht="82.5" customHeight="1" hidden="1">
      <c r="A16" s="10" t="s">
        <v>10</v>
      </c>
      <c r="B16" s="9" t="s">
        <v>9</v>
      </c>
      <c r="C16" s="9" t="s">
        <v>152</v>
      </c>
      <c r="D16" s="9" t="s">
        <v>14</v>
      </c>
      <c r="E16" s="22"/>
      <c r="F16" s="22"/>
      <c r="G16" s="22"/>
    </row>
    <row r="17" spans="1:7" ht="99" customHeight="1" hidden="1">
      <c r="A17" s="11" t="s">
        <v>102</v>
      </c>
      <c r="B17" s="8" t="s">
        <v>9</v>
      </c>
      <c r="C17" s="8" t="s">
        <v>171</v>
      </c>
      <c r="D17" s="8"/>
      <c r="E17" s="21">
        <f>E18+E19+E20</f>
        <v>0</v>
      </c>
      <c r="F17" s="21">
        <f>F18+F19+F20</f>
        <v>0</v>
      </c>
      <c r="G17" s="21">
        <f>G18+G19+G20</f>
        <v>0</v>
      </c>
    </row>
    <row r="18" spans="1:7" ht="95.25" customHeight="1" hidden="1">
      <c r="A18" s="10" t="s">
        <v>6</v>
      </c>
      <c r="B18" s="9" t="s">
        <v>9</v>
      </c>
      <c r="C18" s="9" t="s">
        <v>171</v>
      </c>
      <c r="D18" s="9" t="s">
        <v>7</v>
      </c>
      <c r="E18" s="21"/>
      <c r="F18" s="22"/>
      <c r="G18" s="22"/>
    </row>
    <row r="19" spans="1:7" ht="60" customHeight="1" hidden="1">
      <c r="A19" s="10" t="s">
        <v>10</v>
      </c>
      <c r="B19" s="9" t="s">
        <v>9</v>
      </c>
      <c r="C19" s="9" t="s">
        <v>171</v>
      </c>
      <c r="D19" s="9" t="s">
        <v>11</v>
      </c>
      <c r="E19" s="21"/>
      <c r="F19" s="21"/>
      <c r="G19" s="22"/>
    </row>
    <row r="20" spans="1:7" ht="55.5" customHeight="1" hidden="1">
      <c r="A20" s="10" t="s">
        <v>10</v>
      </c>
      <c r="B20" s="9" t="s">
        <v>9</v>
      </c>
      <c r="C20" s="9" t="s">
        <v>171</v>
      </c>
      <c r="D20" s="9" t="s">
        <v>14</v>
      </c>
      <c r="E20" s="22"/>
      <c r="F20" s="22"/>
      <c r="G20" s="22"/>
    </row>
    <row r="21" spans="1:7" ht="69" hidden="1">
      <c r="A21" s="11" t="s">
        <v>104</v>
      </c>
      <c r="B21" s="8" t="s">
        <v>9</v>
      </c>
      <c r="C21" s="8" t="s">
        <v>12</v>
      </c>
      <c r="D21" s="8" t="s">
        <v>0</v>
      </c>
      <c r="E21" s="21">
        <f>E22</f>
        <v>0</v>
      </c>
      <c r="F21" s="21">
        <f>F22</f>
        <v>0</v>
      </c>
      <c r="G21" s="21">
        <f>G22</f>
        <v>0</v>
      </c>
    </row>
    <row r="22" spans="1:7" ht="61.5" customHeight="1" hidden="1">
      <c r="A22" s="10" t="s">
        <v>13</v>
      </c>
      <c r="B22" s="9" t="s">
        <v>9</v>
      </c>
      <c r="C22" s="9" t="s">
        <v>12</v>
      </c>
      <c r="D22" s="9" t="s">
        <v>14</v>
      </c>
      <c r="E22" s="22"/>
      <c r="F22" s="22"/>
      <c r="G22" s="22"/>
    </row>
    <row r="23" spans="1:7" ht="138.75">
      <c r="A23" s="11" t="s">
        <v>15</v>
      </c>
      <c r="B23" s="8" t="s">
        <v>16</v>
      </c>
      <c r="C23" s="8" t="s">
        <v>0</v>
      </c>
      <c r="D23" s="8" t="s">
        <v>0</v>
      </c>
      <c r="E23" s="21">
        <f>E26+E36+E32+E24+E30</f>
        <v>20522113</v>
      </c>
      <c r="F23" s="21">
        <f>F26+F36+F32+F24+F30</f>
        <v>19198313</v>
      </c>
      <c r="G23" s="21">
        <f>G26+G36+G32+G24+G30</f>
        <v>19159513</v>
      </c>
    </row>
    <row r="24" spans="1:7" ht="116.25" customHeight="1">
      <c r="A24" s="11" t="s">
        <v>179</v>
      </c>
      <c r="B24" s="8" t="s">
        <v>16</v>
      </c>
      <c r="C24" s="8" t="s">
        <v>142</v>
      </c>
      <c r="D24" s="8"/>
      <c r="E24" s="21">
        <f>E25</f>
        <v>60000</v>
      </c>
      <c r="F24" s="21">
        <f>F25</f>
        <v>60000</v>
      </c>
      <c r="G24" s="21">
        <f>G25</f>
        <v>60000</v>
      </c>
    </row>
    <row r="25" spans="1:7" ht="54">
      <c r="A25" s="10" t="s">
        <v>10</v>
      </c>
      <c r="B25" s="9" t="s">
        <v>16</v>
      </c>
      <c r="C25" s="9" t="s">
        <v>142</v>
      </c>
      <c r="D25" s="9" t="s">
        <v>11</v>
      </c>
      <c r="E25" s="22">
        <f>60000</f>
        <v>60000</v>
      </c>
      <c r="F25" s="22">
        <f>60000</f>
        <v>60000</v>
      </c>
      <c r="G25" s="22">
        <f>60000</f>
        <v>60000</v>
      </c>
    </row>
    <row r="26" spans="1:7" ht="147" customHeight="1">
      <c r="A26" s="11" t="s">
        <v>180</v>
      </c>
      <c r="B26" s="8" t="s">
        <v>16</v>
      </c>
      <c r="C26" s="8" t="s">
        <v>136</v>
      </c>
      <c r="D26" s="8" t="s">
        <v>0</v>
      </c>
      <c r="E26" s="21">
        <f>E27+E28+E29</f>
        <v>18938613</v>
      </c>
      <c r="F26" s="21">
        <f>F27+F28+F29</f>
        <v>17762613</v>
      </c>
      <c r="G26" s="21">
        <f>G27+G28+G29</f>
        <v>17762613</v>
      </c>
    </row>
    <row r="27" spans="1:7" ht="126" customHeight="1">
      <c r="A27" s="10" t="s">
        <v>6</v>
      </c>
      <c r="B27" s="9" t="s">
        <v>16</v>
      </c>
      <c r="C27" s="9" t="s">
        <v>136</v>
      </c>
      <c r="D27" s="9" t="s">
        <v>7</v>
      </c>
      <c r="E27" s="22">
        <f>17136096</f>
        <v>17136096</v>
      </c>
      <c r="F27" s="22">
        <f>17136096</f>
        <v>17136096</v>
      </c>
      <c r="G27" s="22">
        <f>17136096</f>
        <v>17136096</v>
      </c>
    </row>
    <row r="28" spans="1:7" ht="59.25" customHeight="1">
      <c r="A28" s="10" t="s">
        <v>10</v>
      </c>
      <c r="B28" s="9" t="s">
        <v>16</v>
      </c>
      <c r="C28" s="9" t="s">
        <v>136</v>
      </c>
      <c r="D28" s="9" t="s">
        <v>11</v>
      </c>
      <c r="E28" s="22">
        <f>1802517</f>
        <v>1802517</v>
      </c>
      <c r="F28" s="22">
        <f>626517</f>
        <v>626517</v>
      </c>
      <c r="G28" s="22">
        <f>626517</f>
        <v>626517</v>
      </c>
    </row>
    <row r="29" spans="1:7" ht="32.25" customHeight="1" hidden="1">
      <c r="A29" s="10" t="s">
        <v>13</v>
      </c>
      <c r="B29" s="9" t="s">
        <v>16</v>
      </c>
      <c r="C29" s="9" t="s">
        <v>136</v>
      </c>
      <c r="D29" s="9" t="s">
        <v>14</v>
      </c>
      <c r="E29" s="22"/>
      <c r="F29" s="22"/>
      <c r="G29" s="22"/>
    </row>
    <row r="30" spans="1:7" ht="138.75" hidden="1">
      <c r="A30" s="11" t="s">
        <v>153</v>
      </c>
      <c r="B30" s="8" t="s">
        <v>16</v>
      </c>
      <c r="C30" s="8" t="s">
        <v>154</v>
      </c>
      <c r="D30" s="8"/>
      <c r="E30" s="21">
        <f>E31</f>
        <v>0</v>
      </c>
      <c r="F30" s="21">
        <f>F31</f>
        <v>0</v>
      </c>
      <c r="G30" s="21">
        <f>G31</f>
        <v>0</v>
      </c>
    </row>
    <row r="31" spans="1:7" ht="54" hidden="1">
      <c r="A31" s="10" t="s">
        <v>10</v>
      </c>
      <c r="B31" s="9" t="s">
        <v>16</v>
      </c>
      <c r="C31" s="9" t="s">
        <v>154</v>
      </c>
      <c r="D31" s="9" t="s">
        <v>11</v>
      </c>
      <c r="E31" s="22"/>
      <c r="F31" s="22"/>
      <c r="G31" s="22"/>
    </row>
    <row r="32" spans="1:7" ht="87" hidden="1">
      <c r="A32" s="11" t="s">
        <v>102</v>
      </c>
      <c r="B32" s="8" t="s">
        <v>16</v>
      </c>
      <c r="C32" s="8" t="s">
        <v>135</v>
      </c>
      <c r="D32" s="8" t="s">
        <v>0</v>
      </c>
      <c r="E32" s="21">
        <f>SUM(E33:E34)</f>
        <v>0</v>
      </c>
      <c r="F32" s="21">
        <f>SUM(F33:F34)</f>
        <v>0</v>
      </c>
      <c r="G32" s="21">
        <f>SUM(G33:G35)</f>
        <v>0</v>
      </c>
    </row>
    <row r="33" spans="1:7" ht="144" hidden="1">
      <c r="A33" s="10" t="s">
        <v>6</v>
      </c>
      <c r="B33" s="9" t="s">
        <v>16</v>
      </c>
      <c r="C33" s="9" t="s">
        <v>135</v>
      </c>
      <c r="D33" s="9" t="s">
        <v>7</v>
      </c>
      <c r="E33" s="20"/>
      <c r="F33" s="22"/>
      <c r="G33" s="22"/>
    </row>
    <row r="34" spans="1:7" ht="54" customHeight="1" hidden="1">
      <c r="A34" s="10" t="s">
        <v>10</v>
      </c>
      <c r="B34" s="9" t="s">
        <v>16</v>
      </c>
      <c r="C34" s="9" t="s">
        <v>135</v>
      </c>
      <c r="D34" s="9" t="s">
        <v>11</v>
      </c>
      <c r="E34" s="20"/>
      <c r="F34" s="22"/>
      <c r="G34" s="22"/>
    </row>
    <row r="35" spans="1:7" ht="18" hidden="1">
      <c r="A35" s="10" t="s">
        <v>13</v>
      </c>
      <c r="B35" s="9" t="s">
        <v>16</v>
      </c>
      <c r="C35" s="9" t="s">
        <v>135</v>
      </c>
      <c r="D35" s="9" t="s">
        <v>14</v>
      </c>
      <c r="E35" s="20"/>
      <c r="F35" s="22"/>
      <c r="G35" s="22"/>
    </row>
    <row r="36" spans="1:7" ht="69">
      <c r="A36" s="11" t="s">
        <v>104</v>
      </c>
      <c r="B36" s="8" t="s">
        <v>16</v>
      </c>
      <c r="C36" s="8" t="s">
        <v>137</v>
      </c>
      <c r="D36" s="8" t="s">
        <v>0</v>
      </c>
      <c r="E36" s="21">
        <f>SUM(E37:E40)</f>
        <v>1523500</v>
      </c>
      <c r="F36" s="21">
        <f>SUM(F37:F40)</f>
        <v>1375700</v>
      </c>
      <c r="G36" s="21">
        <f>SUM(G37:G40)</f>
        <v>1336900</v>
      </c>
    </row>
    <row r="37" spans="1:7" ht="126" customHeight="1">
      <c r="A37" s="10" t="s">
        <v>6</v>
      </c>
      <c r="B37" s="9" t="s">
        <v>16</v>
      </c>
      <c r="C37" s="9" t="s">
        <v>137</v>
      </c>
      <c r="D37" s="9" t="s">
        <v>7</v>
      </c>
      <c r="E37" s="22">
        <f>308100+686400+321600+207400</f>
        <v>1523500</v>
      </c>
      <c r="F37" s="22">
        <f>296900+606500+283000+189300</f>
        <v>1375700</v>
      </c>
      <c r="G37" s="22">
        <f>296900+584700+272800+182500</f>
        <v>1336900</v>
      </c>
    </row>
    <row r="38" spans="1:7" ht="57.75" customHeight="1" hidden="1">
      <c r="A38" s="10" t="s">
        <v>10</v>
      </c>
      <c r="B38" s="9" t="s">
        <v>16</v>
      </c>
      <c r="C38" s="9" t="s">
        <v>137</v>
      </c>
      <c r="D38" s="9" t="s">
        <v>11</v>
      </c>
      <c r="E38" s="22"/>
      <c r="F38" s="22"/>
      <c r="G38" s="22"/>
    </row>
    <row r="39" spans="1:7" ht="36" hidden="1">
      <c r="A39" s="10" t="s">
        <v>33</v>
      </c>
      <c r="B39" s="9" t="s">
        <v>16</v>
      </c>
      <c r="C39" s="9" t="s">
        <v>137</v>
      </c>
      <c r="D39" s="9" t="s">
        <v>34</v>
      </c>
      <c r="E39" s="22"/>
      <c r="F39" s="22"/>
      <c r="G39" s="22"/>
    </row>
    <row r="40" spans="1:7" ht="25.5" customHeight="1" hidden="1">
      <c r="A40" s="10" t="s">
        <v>13</v>
      </c>
      <c r="B40" s="9" t="s">
        <v>16</v>
      </c>
      <c r="C40" s="9" t="s">
        <v>137</v>
      </c>
      <c r="D40" s="9" t="s">
        <v>14</v>
      </c>
      <c r="E40" s="22"/>
      <c r="F40" s="22"/>
      <c r="G40" s="22"/>
    </row>
    <row r="41" spans="1:7" ht="24" customHeight="1">
      <c r="A41" s="11" t="s">
        <v>149</v>
      </c>
      <c r="B41" s="8" t="s">
        <v>150</v>
      </c>
      <c r="C41" s="9"/>
      <c r="D41" s="9"/>
      <c r="E41" s="21">
        <f aca="true" t="shared" si="1" ref="E41:G42">E42</f>
        <v>72700</v>
      </c>
      <c r="F41" s="21">
        <f t="shared" si="1"/>
        <v>3100</v>
      </c>
      <c r="G41" s="21">
        <f t="shared" si="1"/>
        <v>2800</v>
      </c>
    </row>
    <row r="42" spans="1:7" ht="69">
      <c r="A42" s="11" t="s">
        <v>103</v>
      </c>
      <c r="B42" s="8" t="s">
        <v>150</v>
      </c>
      <c r="C42" s="8" t="s">
        <v>151</v>
      </c>
      <c r="D42" s="9"/>
      <c r="E42" s="21">
        <f t="shared" si="1"/>
        <v>72700</v>
      </c>
      <c r="F42" s="21">
        <f t="shared" si="1"/>
        <v>3100</v>
      </c>
      <c r="G42" s="21">
        <f t="shared" si="1"/>
        <v>2800</v>
      </c>
    </row>
    <row r="43" spans="1:7" ht="54">
      <c r="A43" s="10" t="s">
        <v>10</v>
      </c>
      <c r="B43" s="9" t="s">
        <v>150</v>
      </c>
      <c r="C43" s="9" t="s">
        <v>151</v>
      </c>
      <c r="D43" s="9" t="s">
        <v>11</v>
      </c>
      <c r="E43" s="22">
        <f>72700</f>
        <v>72700</v>
      </c>
      <c r="F43" s="22">
        <f>3100</f>
        <v>3100</v>
      </c>
      <c r="G43" s="22">
        <f>2800</f>
        <v>2800</v>
      </c>
    </row>
    <row r="44" spans="1:7" ht="101.25" customHeight="1">
      <c r="A44" s="11" t="s">
        <v>17</v>
      </c>
      <c r="B44" s="8" t="s">
        <v>18</v>
      </c>
      <c r="C44" s="8" t="s">
        <v>0</v>
      </c>
      <c r="D44" s="8" t="s">
        <v>0</v>
      </c>
      <c r="E44" s="21">
        <f>E45+E53+E49</f>
        <v>7891788</v>
      </c>
      <c r="F44" s="21">
        <f>F45+F53+F49</f>
        <v>7094651</v>
      </c>
      <c r="G44" s="21">
        <f>G45+G53+G49</f>
        <v>7094651</v>
      </c>
    </row>
    <row r="45" spans="1:7" ht="138.75">
      <c r="A45" s="11" t="s">
        <v>181</v>
      </c>
      <c r="B45" s="8" t="s">
        <v>18</v>
      </c>
      <c r="C45" s="8" t="s">
        <v>138</v>
      </c>
      <c r="D45" s="8" t="s">
        <v>0</v>
      </c>
      <c r="E45" s="21">
        <f>SUM(E46:E48)</f>
        <v>7891788</v>
      </c>
      <c r="F45" s="21">
        <f>SUM(F46:F48)</f>
        <v>7094651</v>
      </c>
      <c r="G45" s="21">
        <f>SUM(G46:G48)</f>
        <v>7094651</v>
      </c>
    </row>
    <row r="46" spans="1:7" ht="131.25" customHeight="1">
      <c r="A46" s="10" t="s">
        <v>6</v>
      </c>
      <c r="B46" s="9" t="s">
        <v>18</v>
      </c>
      <c r="C46" s="9" t="s">
        <v>138</v>
      </c>
      <c r="D46" s="9" t="s">
        <v>7</v>
      </c>
      <c r="E46" s="22">
        <f>7009162+400043</f>
        <v>7409205</v>
      </c>
      <c r="F46" s="22">
        <f>7009162</f>
        <v>7009162</v>
      </c>
      <c r="G46" s="22">
        <f>7009162</f>
        <v>7009162</v>
      </c>
    </row>
    <row r="47" spans="1:7" ht="54">
      <c r="A47" s="10" t="s">
        <v>10</v>
      </c>
      <c r="B47" s="9" t="s">
        <v>18</v>
      </c>
      <c r="C47" s="9" t="s">
        <v>138</v>
      </c>
      <c r="D47" s="9" t="s">
        <v>11</v>
      </c>
      <c r="E47" s="22">
        <f>400949+65134+10500</f>
        <v>476583</v>
      </c>
      <c r="F47" s="22">
        <f>80489</f>
        <v>80489</v>
      </c>
      <c r="G47" s="22">
        <f>80489</f>
        <v>80489</v>
      </c>
    </row>
    <row r="48" spans="1:7" ht="22.5" customHeight="1">
      <c r="A48" s="10" t="s">
        <v>13</v>
      </c>
      <c r="B48" s="9" t="s">
        <v>18</v>
      </c>
      <c r="C48" s="9" t="s">
        <v>138</v>
      </c>
      <c r="D48" s="9" t="s">
        <v>14</v>
      </c>
      <c r="E48" s="22">
        <f>6000</f>
        <v>6000</v>
      </c>
      <c r="F48" s="22">
        <f>5000</f>
        <v>5000</v>
      </c>
      <c r="G48" s="22">
        <f>5000</f>
        <v>5000</v>
      </c>
    </row>
    <row r="49" spans="1:7" ht="0" customHeight="1" hidden="1">
      <c r="A49" s="11" t="s">
        <v>102</v>
      </c>
      <c r="B49" s="8" t="s">
        <v>18</v>
      </c>
      <c r="C49" s="8" t="s">
        <v>135</v>
      </c>
      <c r="D49" s="8"/>
      <c r="E49" s="21">
        <f>E50+E51+E52</f>
        <v>0</v>
      </c>
      <c r="F49" s="21">
        <f>F50+F51+F52</f>
        <v>0</v>
      </c>
      <c r="G49" s="21">
        <f>G50+G51+G52</f>
        <v>0</v>
      </c>
    </row>
    <row r="50" spans="1:7" ht="144" hidden="1">
      <c r="A50" s="10" t="s">
        <v>6</v>
      </c>
      <c r="B50" s="9" t="s">
        <v>18</v>
      </c>
      <c r="C50" s="9" t="s">
        <v>135</v>
      </c>
      <c r="D50" s="9" t="s">
        <v>7</v>
      </c>
      <c r="E50" s="22"/>
      <c r="F50" s="22"/>
      <c r="G50" s="22"/>
    </row>
    <row r="51" spans="1:7" ht="54" hidden="1">
      <c r="A51" s="10" t="s">
        <v>10</v>
      </c>
      <c r="B51" s="9" t="s">
        <v>18</v>
      </c>
      <c r="C51" s="9" t="s">
        <v>135</v>
      </c>
      <c r="D51" s="9" t="s">
        <v>11</v>
      </c>
      <c r="E51" s="22"/>
      <c r="F51" s="22"/>
      <c r="G51" s="22"/>
    </row>
    <row r="52" spans="1:7" ht="18" hidden="1">
      <c r="A52" s="10" t="s">
        <v>13</v>
      </c>
      <c r="B52" s="9" t="s">
        <v>18</v>
      </c>
      <c r="C52" s="9" t="s">
        <v>135</v>
      </c>
      <c r="D52" s="9" t="s">
        <v>14</v>
      </c>
      <c r="E52" s="22"/>
      <c r="F52" s="22"/>
      <c r="G52" s="22"/>
    </row>
    <row r="53" spans="1:7" ht="70.5" customHeight="1" hidden="1">
      <c r="A53" s="11" t="s">
        <v>104</v>
      </c>
      <c r="B53" s="8" t="s">
        <v>18</v>
      </c>
      <c r="C53" s="8" t="s">
        <v>137</v>
      </c>
      <c r="D53" s="8" t="s">
        <v>0</v>
      </c>
      <c r="E53" s="21">
        <f>SUM(E54:E56)</f>
        <v>0</v>
      </c>
      <c r="F53" s="21">
        <f>SUM(F54:F56)</f>
        <v>0</v>
      </c>
      <c r="G53" s="21">
        <f>SUM(G54:G56)</f>
        <v>0</v>
      </c>
    </row>
    <row r="54" spans="1:7" ht="144" hidden="1">
      <c r="A54" s="10" t="s">
        <v>6</v>
      </c>
      <c r="B54" s="9" t="s">
        <v>18</v>
      </c>
      <c r="C54" s="9" t="s">
        <v>12</v>
      </c>
      <c r="D54" s="9" t="s">
        <v>7</v>
      </c>
      <c r="E54" s="22"/>
      <c r="F54" s="22"/>
      <c r="G54" s="22"/>
    </row>
    <row r="55" spans="1:7" ht="54" hidden="1">
      <c r="A55" s="10" t="s">
        <v>10</v>
      </c>
      <c r="B55" s="9" t="s">
        <v>18</v>
      </c>
      <c r="C55" s="9" t="s">
        <v>12</v>
      </c>
      <c r="D55" s="9" t="s">
        <v>11</v>
      </c>
      <c r="E55" s="22"/>
      <c r="F55" s="22"/>
      <c r="G55" s="22"/>
    </row>
    <row r="56" spans="1:7" ht="18.75" customHeight="1" hidden="1">
      <c r="A56" s="10" t="s">
        <v>13</v>
      </c>
      <c r="B56" s="9" t="s">
        <v>18</v>
      </c>
      <c r="C56" s="9" t="s">
        <v>137</v>
      </c>
      <c r="D56" s="9" t="s">
        <v>14</v>
      </c>
      <c r="E56" s="22"/>
      <c r="F56" s="22"/>
      <c r="G56" s="22"/>
    </row>
    <row r="57" spans="1:7" ht="34.5" hidden="1">
      <c r="A57" s="11" t="s">
        <v>19</v>
      </c>
      <c r="B57" s="8" t="s">
        <v>20</v>
      </c>
      <c r="C57" s="8" t="s">
        <v>137</v>
      </c>
      <c r="D57" s="8" t="s">
        <v>0</v>
      </c>
      <c r="E57" s="21">
        <f>E58</f>
        <v>0</v>
      </c>
      <c r="F57" s="21">
        <f>F58</f>
        <v>0</v>
      </c>
      <c r="G57" s="21">
        <f>G58</f>
        <v>0</v>
      </c>
    </row>
    <row r="58" spans="1:7" ht="69" hidden="1">
      <c r="A58" s="11" t="s">
        <v>104</v>
      </c>
      <c r="B58" s="8" t="s">
        <v>20</v>
      </c>
      <c r="C58" s="8" t="s">
        <v>137</v>
      </c>
      <c r="D58" s="8" t="s">
        <v>0</v>
      </c>
      <c r="E58" s="21">
        <f>E59+E60</f>
        <v>0</v>
      </c>
      <c r="F58" s="21">
        <f>F59+F60</f>
        <v>0</v>
      </c>
      <c r="G58" s="21">
        <f>G59+G60</f>
        <v>0</v>
      </c>
    </row>
    <row r="59" spans="1:7" ht="54" hidden="1">
      <c r="A59" s="10" t="s">
        <v>10</v>
      </c>
      <c r="B59" s="9" t="s">
        <v>20</v>
      </c>
      <c r="C59" s="9" t="s">
        <v>137</v>
      </c>
      <c r="D59" s="9" t="s">
        <v>11</v>
      </c>
      <c r="E59" s="22"/>
      <c r="F59" s="22"/>
      <c r="G59" s="22"/>
    </row>
    <row r="60" spans="1:7" ht="20.25" customHeight="1" hidden="1">
      <c r="A60" s="10" t="s">
        <v>13</v>
      </c>
      <c r="B60" s="9" t="s">
        <v>20</v>
      </c>
      <c r="C60" s="9" t="s">
        <v>137</v>
      </c>
      <c r="D60" s="9" t="s">
        <v>14</v>
      </c>
      <c r="E60" s="22"/>
      <c r="F60" s="22"/>
      <c r="G60" s="22"/>
    </row>
    <row r="61" spans="1:7" ht="19.5" customHeight="1">
      <c r="A61" s="11" t="s">
        <v>21</v>
      </c>
      <c r="B61" s="8" t="s">
        <v>22</v>
      </c>
      <c r="C61" s="8"/>
      <c r="D61" s="8" t="s">
        <v>0</v>
      </c>
      <c r="E61" s="21">
        <f aca="true" t="shared" si="2" ref="E61:G62">E62</f>
        <v>150000</v>
      </c>
      <c r="F61" s="21">
        <f t="shared" si="2"/>
        <v>150000</v>
      </c>
      <c r="G61" s="21">
        <f t="shared" si="2"/>
        <v>150000</v>
      </c>
    </row>
    <row r="62" spans="1:7" ht="77.25" customHeight="1">
      <c r="A62" s="11" t="s">
        <v>104</v>
      </c>
      <c r="B62" s="8" t="s">
        <v>22</v>
      </c>
      <c r="C62" s="8" t="s">
        <v>137</v>
      </c>
      <c r="D62" s="8" t="s">
        <v>0</v>
      </c>
      <c r="E62" s="21">
        <f t="shared" si="2"/>
        <v>150000</v>
      </c>
      <c r="F62" s="21">
        <f t="shared" si="2"/>
        <v>150000</v>
      </c>
      <c r="G62" s="21">
        <f t="shared" si="2"/>
        <v>150000</v>
      </c>
    </row>
    <row r="63" spans="1:7" ht="18">
      <c r="A63" s="10" t="s">
        <v>13</v>
      </c>
      <c r="B63" s="9" t="s">
        <v>22</v>
      </c>
      <c r="C63" s="9" t="s">
        <v>137</v>
      </c>
      <c r="D63" s="9" t="s">
        <v>14</v>
      </c>
      <c r="E63" s="22">
        <f>150000</f>
        <v>150000</v>
      </c>
      <c r="F63" s="22">
        <f>150000</f>
        <v>150000</v>
      </c>
      <c r="G63" s="22">
        <f>150000</f>
        <v>150000</v>
      </c>
    </row>
    <row r="64" spans="1:7" ht="42" customHeight="1">
      <c r="A64" s="11" t="s">
        <v>23</v>
      </c>
      <c r="B64" s="8" t="s">
        <v>24</v>
      </c>
      <c r="C64" s="8" t="s">
        <v>0</v>
      </c>
      <c r="D64" s="8" t="s">
        <v>0</v>
      </c>
      <c r="E64" s="21">
        <f>E65+E70+E73+E77+E81</f>
        <v>21442609</v>
      </c>
      <c r="F64" s="21">
        <f>F65+F70+F73+F77+F81</f>
        <v>27995790</v>
      </c>
      <c r="G64" s="21">
        <f>G65+G70+G73+G77+G81</f>
        <v>30421320</v>
      </c>
    </row>
    <row r="65" spans="1:7" ht="150" customHeight="1">
      <c r="A65" s="11" t="s">
        <v>180</v>
      </c>
      <c r="B65" s="8" t="s">
        <v>24</v>
      </c>
      <c r="C65" s="8" t="s">
        <v>136</v>
      </c>
      <c r="D65" s="8" t="s">
        <v>0</v>
      </c>
      <c r="E65" s="21">
        <f>SUM(E66:E69)</f>
        <v>13130036</v>
      </c>
      <c r="F65" s="21">
        <f>SUM(F66:F69)</f>
        <v>12165780</v>
      </c>
      <c r="G65" s="21">
        <f>SUM(G66:G69)</f>
        <v>11566610</v>
      </c>
    </row>
    <row r="66" spans="1:7" ht="126" customHeight="1">
      <c r="A66" s="10" t="s">
        <v>6</v>
      </c>
      <c r="B66" s="9" t="s">
        <v>24</v>
      </c>
      <c r="C66" s="9" t="s">
        <v>136</v>
      </c>
      <c r="D66" s="9" t="s">
        <v>7</v>
      </c>
      <c r="E66" s="22">
        <f>7365190+591461</f>
        <v>7956651</v>
      </c>
      <c r="F66" s="22">
        <f>8315190</f>
        <v>8315190</v>
      </c>
      <c r="G66" s="22">
        <f>8315190</f>
        <v>8315190</v>
      </c>
    </row>
    <row r="67" spans="1:7" ht="56.25" customHeight="1">
      <c r="A67" s="10" t="s">
        <v>10</v>
      </c>
      <c r="B67" s="9" t="s">
        <v>24</v>
      </c>
      <c r="C67" s="9" t="s">
        <v>136</v>
      </c>
      <c r="D67" s="9" t="s">
        <v>11</v>
      </c>
      <c r="E67" s="22">
        <f>5117385</f>
        <v>5117385</v>
      </c>
      <c r="F67" s="22">
        <f>11203129+591461-8000000</f>
        <v>3794590</v>
      </c>
      <c r="G67" s="22">
        <f>13603959+591461-11000000</f>
        <v>3195420</v>
      </c>
    </row>
    <row r="68" spans="1:7" ht="36" hidden="1">
      <c r="A68" s="10" t="s">
        <v>33</v>
      </c>
      <c r="B68" s="9" t="s">
        <v>24</v>
      </c>
      <c r="C68" s="9" t="s">
        <v>136</v>
      </c>
      <c r="D68" s="9" t="s">
        <v>34</v>
      </c>
      <c r="E68" s="22"/>
      <c r="F68" s="22"/>
      <c r="G68" s="22"/>
    </row>
    <row r="69" spans="1:7" ht="28.5" customHeight="1">
      <c r="A69" s="10" t="s">
        <v>13</v>
      </c>
      <c r="B69" s="9" t="s">
        <v>24</v>
      </c>
      <c r="C69" s="9" t="s">
        <v>136</v>
      </c>
      <c r="D69" s="9" t="s">
        <v>14</v>
      </c>
      <c r="E69" s="22">
        <f>56000</f>
        <v>56000</v>
      </c>
      <c r="F69" s="22">
        <f>56000</f>
        <v>56000</v>
      </c>
      <c r="G69" s="22">
        <f>56000</f>
        <v>56000</v>
      </c>
    </row>
    <row r="70" spans="1:7" ht="126.75" customHeight="1">
      <c r="A70" s="11" t="s">
        <v>182</v>
      </c>
      <c r="B70" s="8" t="s">
        <v>24</v>
      </c>
      <c r="C70" s="8" t="s">
        <v>139</v>
      </c>
      <c r="D70" s="8"/>
      <c r="E70" s="21">
        <f>E71+E72</f>
        <v>914576</v>
      </c>
      <c r="F70" s="21">
        <f>F71+F72</f>
        <v>914576</v>
      </c>
      <c r="G70" s="21">
        <f>G71+G72</f>
        <v>914576</v>
      </c>
    </row>
    <row r="71" spans="1:7" ht="54">
      <c r="A71" s="10" t="s">
        <v>10</v>
      </c>
      <c r="B71" s="9" t="s">
        <v>24</v>
      </c>
      <c r="C71" s="9" t="s">
        <v>139</v>
      </c>
      <c r="D71" s="9" t="s">
        <v>11</v>
      </c>
      <c r="E71" s="22">
        <f>914576</f>
        <v>914576</v>
      </c>
      <c r="F71" s="22">
        <f>914576</f>
        <v>914576</v>
      </c>
      <c r="G71" s="22">
        <f>914576</f>
        <v>914576</v>
      </c>
    </row>
    <row r="72" spans="1:7" ht="18" hidden="1">
      <c r="A72" s="10" t="s">
        <v>13</v>
      </c>
      <c r="B72" s="9" t="s">
        <v>24</v>
      </c>
      <c r="C72" s="9" t="s">
        <v>61</v>
      </c>
      <c r="D72" s="9" t="s">
        <v>14</v>
      </c>
      <c r="E72" s="22"/>
      <c r="F72" s="22"/>
      <c r="G72" s="22"/>
    </row>
    <row r="73" spans="1:7" ht="144.75" customHeight="1">
      <c r="A73" s="11" t="s">
        <v>183</v>
      </c>
      <c r="B73" s="8" t="s">
        <v>24</v>
      </c>
      <c r="C73" s="8" t="s">
        <v>163</v>
      </c>
      <c r="D73" s="8"/>
      <c r="E73" s="21">
        <f>SUM(E74:E76)</f>
        <v>6434644</v>
      </c>
      <c r="F73" s="21">
        <f>SUM(F74:F76)</f>
        <v>5990074</v>
      </c>
      <c r="G73" s="21">
        <f>SUM(G74:G76)</f>
        <v>5990074</v>
      </c>
    </row>
    <row r="74" spans="1:7" ht="155.25" customHeight="1">
      <c r="A74" s="10" t="s">
        <v>6</v>
      </c>
      <c r="B74" s="9" t="s">
        <v>24</v>
      </c>
      <c r="C74" s="9" t="s">
        <v>163</v>
      </c>
      <c r="D74" s="9" t="s">
        <v>7</v>
      </c>
      <c r="E74" s="22">
        <f>5776871</f>
        <v>5776871</v>
      </c>
      <c r="F74" s="22">
        <f>5776871</f>
        <v>5776871</v>
      </c>
      <c r="G74" s="22">
        <f>5776871</f>
        <v>5776871</v>
      </c>
    </row>
    <row r="75" spans="1:7" ht="52.5" customHeight="1">
      <c r="A75" s="10" t="s">
        <v>10</v>
      </c>
      <c r="B75" s="9" t="s">
        <v>24</v>
      </c>
      <c r="C75" s="9" t="s">
        <v>163</v>
      </c>
      <c r="D75" s="9" t="s">
        <v>11</v>
      </c>
      <c r="E75" s="22">
        <f>657773</f>
        <v>657773</v>
      </c>
      <c r="F75" s="22">
        <f>213203</f>
        <v>213203</v>
      </c>
      <c r="G75" s="22">
        <f>213203</f>
        <v>213203</v>
      </c>
    </row>
    <row r="76" spans="1:7" ht="18" hidden="1">
      <c r="A76" s="10" t="s">
        <v>13</v>
      </c>
      <c r="B76" s="9" t="s">
        <v>24</v>
      </c>
      <c r="C76" s="9" t="s">
        <v>163</v>
      </c>
      <c r="D76" s="9" t="s">
        <v>14</v>
      </c>
      <c r="E76" s="22"/>
      <c r="F76" s="22"/>
      <c r="G76" s="22"/>
    </row>
    <row r="77" spans="1:7" ht="87" hidden="1">
      <c r="A77" s="11" t="s">
        <v>102</v>
      </c>
      <c r="B77" s="8" t="s">
        <v>24</v>
      </c>
      <c r="C77" s="8" t="s">
        <v>135</v>
      </c>
      <c r="D77" s="8" t="s">
        <v>0</v>
      </c>
      <c r="E77" s="21">
        <f>E78+E79+E80</f>
        <v>0</v>
      </c>
      <c r="F77" s="21">
        <f>F78+F79+F80</f>
        <v>0</v>
      </c>
      <c r="G77" s="21">
        <f>G78+G79+G80</f>
        <v>0</v>
      </c>
    </row>
    <row r="78" spans="1:7" ht="0.75" customHeight="1" hidden="1">
      <c r="A78" s="10" t="s">
        <v>6</v>
      </c>
      <c r="B78" s="9" t="s">
        <v>24</v>
      </c>
      <c r="C78" s="9" t="s">
        <v>135</v>
      </c>
      <c r="D78" s="9" t="s">
        <v>7</v>
      </c>
      <c r="E78" s="22"/>
      <c r="F78" s="22"/>
      <c r="G78" s="22"/>
    </row>
    <row r="79" spans="1:7" ht="54" hidden="1">
      <c r="A79" s="10" t="s">
        <v>10</v>
      </c>
      <c r="B79" s="9" t="s">
        <v>24</v>
      </c>
      <c r="C79" s="9" t="s">
        <v>135</v>
      </c>
      <c r="D79" s="9" t="s">
        <v>11</v>
      </c>
      <c r="E79" s="22"/>
      <c r="F79" s="22"/>
      <c r="G79" s="22"/>
    </row>
    <row r="80" spans="1:7" ht="18" hidden="1">
      <c r="A80" s="10" t="s">
        <v>13</v>
      </c>
      <c r="B80" s="9" t="s">
        <v>24</v>
      </c>
      <c r="C80" s="9" t="s">
        <v>135</v>
      </c>
      <c r="D80" s="9" t="s">
        <v>14</v>
      </c>
      <c r="E80" s="22"/>
      <c r="F80" s="22"/>
      <c r="G80" s="22"/>
    </row>
    <row r="81" spans="1:7" ht="69">
      <c r="A81" s="11" t="s">
        <v>103</v>
      </c>
      <c r="B81" s="8" t="s">
        <v>24</v>
      </c>
      <c r="C81" s="8" t="s">
        <v>137</v>
      </c>
      <c r="D81" s="8" t="s">
        <v>0</v>
      </c>
      <c r="E81" s="21">
        <f>E82+E83+E84+E85+E86+E87</f>
        <v>963353</v>
      </c>
      <c r="F81" s="21">
        <f>F82+F83+F84+F85+F86+F87</f>
        <v>8925360</v>
      </c>
      <c r="G81" s="21">
        <f>SUM(G82:G87)</f>
        <v>11950060</v>
      </c>
    </row>
    <row r="82" spans="1:7" ht="129" customHeight="1">
      <c r="A82" s="10" t="s">
        <v>6</v>
      </c>
      <c r="B82" s="9" t="s">
        <v>24</v>
      </c>
      <c r="C82" s="9" t="s">
        <v>137</v>
      </c>
      <c r="D82" s="9" t="s">
        <v>7</v>
      </c>
      <c r="E82" s="22">
        <f>826935</f>
        <v>826935</v>
      </c>
      <c r="F82" s="22">
        <f>822936</f>
        <v>822936</v>
      </c>
      <c r="G82" s="22">
        <f>822936</f>
        <v>822936</v>
      </c>
    </row>
    <row r="83" spans="1:7" ht="56.25" customHeight="1">
      <c r="A83" s="10" t="s">
        <v>10</v>
      </c>
      <c r="B83" s="9" t="s">
        <v>24</v>
      </c>
      <c r="C83" s="9" t="s">
        <v>137</v>
      </c>
      <c r="D83" s="9" t="s">
        <v>11</v>
      </c>
      <c r="E83" s="22">
        <f>86865</f>
        <v>86865</v>
      </c>
      <c r="F83" s="22">
        <f>89164</f>
        <v>89164</v>
      </c>
      <c r="G83" s="22">
        <f>113864</f>
        <v>113864</v>
      </c>
    </row>
    <row r="84" spans="1:7" ht="61.5" customHeight="1" hidden="1">
      <c r="A84" s="10" t="s">
        <v>33</v>
      </c>
      <c r="B84" s="9" t="s">
        <v>24</v>
      </c>
      <c r="C84" s="9" t="s">
        <v>12</v>
      </c>
      <c r="D84" s="9" t="s">
        <v>34</v>
      </c>
      <c r="E84" s="22"/>
      <c r="F84" s="22"/>
      <c r="G84" s="22"/>
    </row>
    <row r="85" spans="1:7" ht="51" customHeight="1" hidden="1">
      <c r="A85" s="10" t="s">
        <v>25</v>
      </c>
      <c r="B85" s="9" t="s">
        <v>24</v>
      </c>
      <c r="C85" s="9" t="s">
        <v>12</v>
      </c>
      <c r="D85" s="9" t="s">
        <v>26</v>
      </c>
      <c r="E85" s="22"/>
      <c r="F85" s="22"/>
      <c r="G85" s="22"/>
    </row>
    <row r="86" spans="1:7" ht="39.75" customHeight="1" hidden="1">
      <c r="A86" s="10" t="s">
        <v>27</v>
      </c>
      <c r="B86" s="9" t="s">
        <v>24</v>
      </c>
      <c r="C86" s="9" t="s">
        <v>137</v>
      </c>
      <c r="D86" s="9" t="s">
        <v>28</v>
      </c>
      <c r="E86" s="22"/>
      <c r="F86" s="22"/>
      <c r="G86" s="22"/>
    </row>
    <row r="87" spans="1:7" ht="27.75" customHeight="1">
      <c r="A87" s="10" t="s">
        <v>13</v>
      </c>
      <c r="B87" s="9" t="s">
        <v>24</v>
      </c>
      <c r="C87" s="9" t="s">
        <v>137</v>
      </c>
      <c r="D87" s="9" t="s">
        <v>14</v>
      </c>
      <c r="E87" s="22">
        <f>49553</f>
        <v>49553</v>
      </c>
      <c r="F87" s="22">
        <f>13260+8000000</f>
        <v>8013260</v>
      </c>
      <c r="G87" s="22">
        <f>13260+11000000</f>
        <v>11013260</v>
      </c>
    </row>
    <row r="88" spans="1:7" s="19" customFormat="1" ht="69">
      <c r="A88" s="11" t="s">
        <v>121</v>
      </c>
      <c r="B88" s="8" t="s">
        <v>123</v>
      </c>
      <c r="C88" s="9"/>
      <c r="D88" s="9"/>
      <c r="E88" s="21">
        <f>E89+E92</f>
        <v>576636</v>
      </c>
      <c r="F88" s="21">
        <f>F89+F92</f>
        <v>566636</v>
      </c>
      <c r="G88" s="21">
        <f>G89+G92</f>
        <v>566636</v>
      </c>
    </row>
    <row r="89" spans="1:7" ht="90" customHeight="1">
      <c r="A89" s="11" t="s">
        <v>203</v>
      </c>
      <c r="B89" s="8" t="s">
        <v>204</v>
      </c>
      <c r="C89" s="9"/>
      <c r="D89" s="9"/>
      <c r="E89" s="21">
        <f aca="true" t="shared" si="3" ref="E89:G90">E90</f>
        <v>566636</v>
      </c>
      <c r="F89" s="21">
        <f t="shared" si="3"/>
        <v>566636</v>
      </c>
      <c r="G89" s="21">
        <f t="shared" si="3"/>
        <v>566636</v>
      </c>
    </row>
    <row r="90" spans="1:7" ht="81.75" customHeight="1">
      <c r="A90" s="11" t="s">
        <v>103</v>
      </c>
      <c r="B90" s="8" t="s">
        <v>204</v>
      </c>
      <c r="C90" s="8" t="s">
        <v>137</v>
      </c>
      <c r="D90" s="8" t="s">
        <v>0</v>
      </c>
      <c r="E90" s="21">
        <f t="shared" si="3"/>
        <v>566636</v>
      </c>
      <c r="F90" s="21">
        <f t="shared" si="3"/>
        <v>566636</v>
      </c>
      <c r="G90" s="21">
        <f t="shared" si="3"/>
        <v>566636</v>
      </c>
    </row>
    <row r="91" spans="1:7" ht="56.25" customHeight="1">
      <c r="A91" s="10" t="s">
        <v>10</v>
      </c>
      <c r="B91" s="9" t="s">
        <v>204</v>
      </c>
      <c r="C91" s="9" t="s">
        <v>137</v>
      </c>
      <c r="D91" s="9" t="s">
        <v>11</v>
      </c>
      <c r="E91" s="22">
        <f>566636</f>
        <v>566636</v>
      </c>
      <c r="F91" s="22">
        <f>566636</f>
        <v>566636</v>
      </c>
      <c r="G91" s="22">
        <f>566636</f>
        <v>566636</v>
      </c>
    </row>
    <row r="92" spans="1:7" ht="69" hidden="1">
      <c r="A92" s="11" t="s">
        <v>122</v>
      </c>
      <c r="B92" s="8" t="s">
        <v>124</v>
      </c>
      <c r="C92" s="9"/>
      <c r="D92" s="9"/>
      <c r="E92" s="21">
        <f>E93+E95</f>
        <v>10000</v>
      </c>
      <c r="F92" s="21">
        <f>F93+F95</f>
        <v>0</v>
      </c>
      <c r="G92" s="21">
        <f>G93+G95</f>
        <v>0</v>
      </c>
    </row>
    <row r="93" spans="1:7" ht="87">
      <c r="A93" s="11" t="s">
        <v>184</v>
      </c>
      <c r="B93" s="8" t="s">
        <v>124</v>
      </c>
      <c r="C93" s="8" t="s">
        <v>140</v>
      </c>
      <c r="D93" s="8"/>
      <c r="E93" s="21">
        <f>E94</f>
        <v>10000</v>
      </c>
      <c r="F93" s="21">
        <f>F94</f>
        <v>0</v>
      </c>
      <c r="G93" s="21">
        <f>G94</f>
        <v>0</v>
      </c>
    </row>
    <row r="94" spans="1:7" ht="132.75" customHeight="1">
      <c r="A94" s="10" t="s">
        <v>6</v>
      </c>
      <c r="B94" s="9" t="s">
        <v>124</v>
      </c>
      <c r="C94" s="9" t="s">
        <v>140</v>
      </c>
      <c r="D94" s="9" t="s">
        <v>7</v>
      </c>
      <c r="E94" s="22">
        <f>10000</f>
        <v>10000</v>
      </c>
      <c r="F94" s="22"/>
      <c r="G94" s="22"/>
    </row>
    <row r="95" spans="1:7" s="25" customFormat="1" ht="69" hidden="1">
      <c r="A95" s="11" t="s">
        <v>103</v>
      </c>
      <c r="B95" s="8" t="s">
        <v>124</v>
      </c>
      <c r="C95" s="8" t="s">
        <v>151</v>
      </c>
      <c r="D95" s="8"/>
      <c r="E95" s="21">
        <f>E96</f>
        <v>0</v>
      </c>
      <c r="F95" s="21">
        <f>F96</f>
        <v>0</v>
      </c>
      <c r="G95" s="21">
        <f>G96</f>
        <v>0</v>
      </c>
    </row>
    <row r="96" spans="1:7" ht="129.75" customHeight="1" hidden="1">
      <c r="A96" s="10" t="s">
        <v>6</v>
      </c>
      <c r="B96" s="9" t="s">
        <v>124</v>
      </c>
      <c r="C96" s="9" t="s">
        <v>151</v>
      </c>
      <c r="D96" s="9" t="s">
        <v>7</v>
      </c>
      <c r="E96" s="22"/>
      <c r="F96" s="22"/>
      <c r="G96" s="22"/>
    </row>
    <row r="97" spans="1:7" ht="36" customHeight="1">
      <c r="A97" s="11" t="s">
        <v>35</v>
      </c>
      <c r="B97" s="8" t="s">
        <v>36</v>
      </c>
      <c r="C97" s="8" t="s">
        <v>0</v>
      </c>
      <c r="D97" s="8" t="s">
        <v>0</v>
      </c>
      <c r="E97" s="21">
        <f>E98+E104+E108+E114</f>
        <v>17304113</v>
      </c>
      <c r="F97" s="21">
        <f>F98+F104+F108+F114</f>
        <v>4783900</v>
      </c>
      <c r="G97" s="21">
        <f>G98+G104+G108+G114</f>
        <v>4874200</v>
      </c>
    </row>
    <row r="98" spans="1:7" ht="34.5" hidden="1">
      <c r="A98" s="11" t="s">
        <v>37</v>
      </c>
      <c r="B98" s="8" t="s">
        <v>38</v>
      </c>
      <c r="C98" s="8" t="s">
        <v>0</v>
      </c>
      <c r="D98" s="8" t="s">
        <v>0</v>
      </c>
      <c r="E98" s="21">
        <f>E99+E101</f>
        <v>123000</v>
      </c>
      <c r="F98" s="21">
        <f>F99+F101</f>
        <v>123000</v>
      </c>
      <c r="G98" s="21">
        <f>G99+G101</f>
        <v>123000</v>
      </c>
    </row>
    <row r="99" spans="1:7" ht="87" hidden="1">
      <c r="A99" s="11" t="s">
        <v>102</v>
      </c>
      <c r="B99" s="8" t="s">
        <v>38</v>
      </c>
      <c r="C99" s="8" t="s">
        <v>5</v>
      </c>
      <c r="D99" s="8" t="s">
        <v>0</v>
      </c>
      <c r="E99" s="21">
        <f>E100</f>
        <v>0</v>
      </c>
      <c r="F99" s="21">
        <f>F100</f>
        <v>0</v>
      </c>
      <c r="G99" s="21">
        <f>G100</f>
        <v>0</v>
      </c>
    </row>
    <row r="100" spans="1:7" ht="54" hidden="1">
      <c r="A100" s="10" t="s">
        <v>10</v>
      </c>
      <c r="B100" s="9" t="s">
        <v>38</v>
      </c>
      <c r="C100" s="9" t="s">
        <v>5</v>
      </c>
      <c r="D100" s="9" t="s">
        <v>11</v>
      </c>
      <c r="E100" s="22"/>
      <c r="F100" s="22"/>
      <c r="G100" s="22"/>
    </row>
    <row r="101" spans="1:7" ht="69">
      <c r="A101" s="11" t="s">
        <v>103</v>
      </c>
      <c r="B101" s="8" t="s">
        <v>38</v>
      </c>
      <c r="C101" s="8" t="s">
        <v>137</v>
      </c>
      <c r="D101" s="8" t="s">
        <v>0</v>
      </c>
      <c r="E101" s="21">
        <f>E103+E102</f>
        <v>123000</v>
      </c>
      <c r="F101" s="21">
        <f>F103+F102</f>
        <v>123000</v>
      </c>
      <c r="G101" s="21">
        <f>G103+G102</f>
        <v>123000</v>
      </c>
    </row>
    <row r="102" spans="1:7" ht="60.75" customHeight="1">
      <c r="A102" s="10" t="s">
        <v>10</v>
      </c>
      <c r="B102" s="9" t="s">
        <v>38</v>
      </c>
      <c r="C102" s="9" t="s">
        <v>137</v>
      </c>
      <c r="D102" s="9" t="s">
        <v>11</v>
      </c>
      <c r="E102" s="22">
        <f>123000</f>
        <v>123000</v>
      </c>
      <c r="F102" s="22">
        <f>123000</f>
        <v>123000</v>
      </c>
      <c r="G102" s="22">
        <f>123000</f>
        <v>123000</v>
      </c>
    </row>
    <row r="103" spans="1:7" ht="18" hidden="1">
      <c r="A103" s="10" t="s">
        <v>13</v>
      </c>
      <c r="B103" s="9" t="s">
        <v>38</v>
      </c>
      <c r="C103" s="9" t="s">
        <v>12</v>
      </c>
      <c r="D103" s="9" t="s">
        <v>14</v>
      </c>
      <c r="E103" s="22"/>
      <c r="F103" s="22"/>
      <c r="G103" s="22"/>
    </row>
    <row r="104" spans="1:7" ht="17.25" hidden="1">
      <c r="A104" s="11" t="s">
        <v>39</v>
      </c>
      <c r="B104" s="8" t="s">
        <v>40</v>
      </c>
      <c r="C104" s="8" t="s">
        <v>0</v>
      </c>
      <c r="D104" s="8" t="s">
        <v>0</v>
      </c>
      <c r="E104" s="21">
        <f>E105</f>
        <v>0</v>
      </c>
      <c r="F104" s="21">
        <f>F105</f>
        <v>0</v>
      </c>
      <c r="G104" s="21">
        <f>G105</f>
        <v>0</v>
      </c>
    </row>
    <row r="105" spans="1:7" ht="69" hidden="1">
      <c r="A105" s="11" t="s">
        <v>103</v>
      </c>
      <c r="B105" s="8" t="s">
        <v>40</v>
      </c>
      <c r="C105" s="8" t="s">
        <v>12</v>
      </c>
      <c r="D105" s="8" t="s">
        <v>0</v>
      </c>
      <c r="E105" s="21">
        <f>E106+E107</f>
        <v>0</v>
      </c>
      <c r="F105" s="21">
        <f>F106+F107</f>
        <v>0</v>
      </c>
      <c r="G105" s="21">
        <f>G106+G107</f>
        <v>0</v>
      </c>
    </row>
    <row r="106" spans="1:7" ht="54" hidden="1">
      <c r="A106" s="10" t="s">
        <v>10</v>
      </c>
      <c r="B106" s="9" t="s">
        <v>40</v>
      </c>
      <c r="C106" s="9" t="s">
        <v>12</v>
      </c>
      <c r="D106" s="9" t="s">
        <v>11</v>
      </c>
      <c r="E106" s="22"/>
      <c r="F106" s="22"/>
      <c r="G106" s="22"/>
    </row>
    <row r="107" spans="1:7" ht="72" hidden="1">
      <c r="A107" s="10" t="s">
        <v>31</v>
      </c>
      <c r="B107" s="9" t="s">
        <v>40</v>
      </c>
      <c r="C107" s="9" t="s">
        <v>12</v>
      </c>
      <c r="D107" s="9" t="s">
        <v>32</v>
      </c>
      <c r="E107" s="22"/>
      <c r="F107" s="22"/>
      <c r="G107" s="22"/>
    </row>
    <row r="108" spans="1:7" ht="34.5">
      <c r="A108" s="11" t="s">
        <v>42</v>
      </c>
      <c r="B108" s="8" t="s">
        <v>43</v>
      </c>
      <c r="C108" s="8" t="s">
        <v>0</v>
      </c>
      <c r="D108" s="8" t="s">
        <v>0</v>
      </c>
      <c r="E108" s="21">
        <f>E109+E111</f>
        <v>16781113</v>
      </c>
      <c r="F108" s="21">
        <f>F109+F111</f>
        <v>4660900</v>
      </c>
      <c r="G108" s="21">
        <f>G109+G111</f>
        <v>4751200</v>
      </c>
    </row>
    <row r="109" spans="1:7" ht="141" customHeight="1">
      <c r="A109" s="11" t="s">
        <v>196</v>
      </c>
      <c r="B109" s="8" t="s">
        <v>43</v>
      </c>
      <c r="C109" s="8" t="s">
        <v>197</v>
      </c>
      <c r="D109" s="8" t="s">
        <v>0</v>
      </c>
      <c r="E109" s="21">
        <f>E110</f>
        <v>8080809</v>
      </c>
      <c r="F109" s="21">
        <f>F110</f>
        <v>0</v>
      </c>
      <c r="G109" s="21">
        <f>G110</f>
        <v>0</v>
      </c>
    </row>
    <row r="110" spans="1:7" ht="54">
      <c r="A110" s="10" t="s">
        <v>10</v>
      </c>
      <c r="B110" s="9" t="s">
        <v>43</v>
      </c>
      <c r="C110" s="9" t="s">
        <v>197</v>
      </c>
      <c r="D110" s="9" t="s">
        <v>11</v>
      </c>
      <c r="E110" s="22">
        <f>8080809</f>
        <v>8080809</v>
      </c>
      <c r="F110" s="22"/>
      <c r="G110" s="22"/>
    </row>
    <row r="111" spans="1:7" ht="69">
      <c r="A111" s="11" t="s">
        <v>103</v>
      </c>
      <c r="B111" s="8" t="s">
        <v>43</v>
      </c>
      <c r="C111" s="8" t="s">
        <v>137</v>
      </c>
      <c r="D111" s="8"/>
      <c r="E111" s="21">
        <f>E112+E113</f>
        <v>8700304</v>
      </c>
      <c r="F111" s="21">
        <f>F112+F113</f>
        <v>4660900</v>
      </c>
      <c r="G111" s="21">
        <f>G112+G113</f>
        <v>4751200</v>
      </c>
    </row>
    <row r="112" spans="1:7" ht="57" customHeight="1">
      <c r="A112" s="10" t="s">
        <v>10</v>
      </c>
      <c r="B112" s="9" t="s">
        <v>43</v>
      </c>
      <c r="C112" s="9" t="s">
        <v>137</v>
      </c>
      <c r="D112" s="9" t="s">
        <v>11</v>
      </c>
      <c r="E112" s="22">
        <f>4659900+4040404</f>
        <v>8700304</v>
      </c>
      <c r="F112" s="22">
        <f>4660900</f>
        <v>4660900</v>
      </c>
      <c r="G112" s="22">
        <f>4751200</f>
        <v>4751200</v>
      </c>
    </row>
    <row r="113" spans="1:7" ht="18" hidden="1">
      <c r="A113" s="10"/>
      <c r="B113" s="9" t="s">
        <v>43</v>
      </c>
      <c r="C113" s="9" t="s">
        <v>137</v>
      </c>
      <c r="D113" s="9" t="s">
        <v>32</v>
      </c>
      <c r="E113" s="22"/>
      <c r="F113" s="22"/>
      <c r="G113" s="22"/>
    </row>
    <row r="114" spans="1:7" ht="34.5">
      <c r="A114" s="11" t="s">
        <v>44</v>
      </c>
      <c r="B114" s="8" t="s">
        <v>45</v>
      </c>
      <c r="C114" s="8" t="s">
        <v>0</v>
      </c>
      <c r="D114" s="8" t="s">
        <v>0</v>
      </c>
      <c r="E114" s="21">
        <f>E115+E117</f>
        <v>400000</v>
      </c>
      <c r="F114" s="21">
        <f>F115+F117</f>
        <v>0</v>
      </c>
      <c r="G114" s="21">
        <f>G115+G117</f>
        <v>0</v>
      </c>
    </row>
    <row r="115" spans="1:7" ht="145.5" customHeight="1">
      <c r="A115" s="11" t="s">
        <v>180</v>
      </c>
      <c r="B115" s="8" t="s">
        <v>45</v>
      </c>
      <c r="C115" s="8" t="s">
        <v>199</v>
      </c>
      <c r="D115" s="8" t="s">
        <v>0</v>
      </c>
      <c r="E115" s="21">
        <f>E116</f>
        <v>400000</v>
      </c>
      <c r="F115" s="21">
        <f>F116</f>
        <v>0</v>
      </c>
      <c r="G115" s="21">
        <f>G116</f>
        <v>0</v>
      </c>
    </row>
    <row r="116" spans="1:7" ht="57" customHeight="1">
      <c r="A116" s="10" t="s">
        <v>10</v>
      </c>
      <c r="B116" s="9" t="s">
        <v>45</v>
      </c>
      <c r="C116" s="9" t="s">
        <v>199</v>
      </c>
      <c r="D116" s="9" t="s">
        <v>11</v>
      </c>
      <c r="E116" s="22">
        <f>400000</f>
        <v>400000</v>
      </c>
      <c r="F116" s="22"/>
      <c r="G116" s="22"/>
    </row>
    <row r="117" spans="1:7" ht="63" customHeight="1" hidden="1">
      <c r="A117" s="11" t="s">
        <v>103</v>
      </c>
      <c r="B117" s="8" t="s">
        <v>45</v>
      </c>
      <c r="C117" s="8" t="s">
        <v>151</v>
      </c>
      <c r="D117" s="8"/>
      <c r="E117" s="21">
        <f>E118</f>
        <v>0</v>
      </c>
      <c r="F117" s="21">
        <f>F118</f>
        <v>0</v>
      </c>
      <c r="G117" s="21">
        <f>G118</f>
        <v>0</v>
      </c>
    </row>
    <row r="118" spans="1:7" ht="63" customHeight="1" hidden="1">
      <c r="A118" s="10" t="s">
        <v>10</v>
      </c>
      <c r="B118" s="9" t="s">
        <v>45</v>
      </c>
      <c r="C118" s="9" t="s">
        <v>151</v>
      </c>
      <c r="D118" s="9" t="s">
        <v>11</v>
      </c>
      <c r="E118" s="22"/>
      <c r="F118" s="22"/>
      <c r="G118" s="22"/>
    </row>
    <row r="119" spans="1:7" ht="55.5" customHeight="1">
      <c r="A119" s="11" t="s">
        <v>46</v>
      </c>
      <c r="B119" s="8" t="s">
        <v>47</v>
      </c>
      <c r="C119" s="8" t="s">
        <v>0</v>
      </c>
      <c r="D119" s="8" t="s">
        <v>0</v>
      </c>
      <c r="E119" s="21">
        <f>E120+E123+E131</f>
        <v>10955400</v>
      </c>
      <c r="F119" s="21">
        <f>F120+F123+F131</f>
        <v>30048100</v>
      </c>
      <c r="G119" s="21">
        <f>G120+G123+G131</f>
        <v>29025625</v>
      </c>
    </row>
    <row r="120" spans="1:7" ht="0.75" customHeight="1" hidden="1">
      <c r="A120" s="11" t="s">
        <v>48</v>
      </c>
      <c r="B120" s="8" t="s">
        <v>49</v>
      </c>
      <c r="C120" s="8" t="s">
        <v>0</v>
      </c>
      <c r="D120" s="8" t="s">
        <v>0</v>
      </c>
      <c r="E120" s="21">
        <f aca="true" t="shared" si="4" ref="E120:G121">E121</f>
        <v>0</v>
      </c>
      <c r="F120" s="21">
        <f t="shared" si="4"/>
        <v>0</v>
      </c>
      <c r="G120" s="21">
        <f t="shared" si="4"/>
        <v>0</v>
      </c>
    </row>
    <row r="121" spans="1:7" ht="69" hidden="1">
      <c r="A121" s="11" t="s">
        <v>103</v>
      </c>
      <c r="B121" s="8" t="s">
        <v>49</v>
      </c>
      <c r="C121" s="8" t="s">
        <v>12</v>
      </c>
      <c r="D121" s="8" t="s">
        <v>0</v>
      </c>
      <c r="E121" s="21">
        <f t="shared" si="4"/>
        <v>0</v>
      </c>
      <c r="F121" s="21">
        <f t="shared" si="4"/>
        <v>0</v>
      </c>
      <c r="G121" s="21">
        <f t="shared" si="4"/>
        <v>0</v>
      </c>
    </row>
    <row r="122" spans="1:7" ht="18" hidden="1">
      <c r="A122" s="10" t="s">
        <v>25</v>
      </c>
      <c r="B122" s="9" t="s">
        <v>49</v>
      </c>
      <c r="C122" s="9" t="s">
        <v>12</v>
      </c>
      <c r="D122" s="9" t="s">
        <v>26</v>
      </c>
      <c r="E122" s="22"/>
      <c r="F122" s="22"/>
      <c r="G122" s="22"/>
    </row>
    <row r="123" spans="1:7" ht="17.25">
      <c r="A123" s="11" t="s">
        <v>50</v>
      </c>
      <c r="B123" s="8" t="s">
        <v>51</v>
      </c>
      <c r="C123" s="8" t="s">
        <v>0</v>
      </c>
      <c r="D123" s="8" t="s">
        <v>0</v>
      </c>
      <c r="E123" s="21">
        <f>E127+E124</f>
        <v>10204400</v>
      </c>
      <c r="F123" s="21">
        <f>F127+F124</f>
        <v>29347100</v>
      </c>
      <c r="G123" s="21">
        <f>G127+G124</f>
        <v>28324625</v>
      </c>
    </row>
    <row r="124" spans="1:7" ht="120.75" customHeight="1">
      <c r="A124" s="11" t="s">
        <v>185</v>
      </c>
      <c r="B124" s="8" t="s">
        <v>51</v>
      </c>
      <c r="C124" s="8" t="s">
        <v>155</v>
      </c>
      <c r="D124" s="8"/>
      <c r="E124" s="21">
        <f>E126+E125</f>
        <v>6730000</v>
      </c>
      <c r="F124" s="21">
        <f>F126+F125</f>
        <v>25900000</v>
      </c>
      <c r="G124" s="21">
        <f>G126+G125</f>
        <v>24897625</v>
      </c>
    </row>
    <row r="125" spans="1:7" ht="57" customHeight="1">
      <c r="A125" s="10" t="s">
        <v>172</v>
      </c>
      <c r="B125" s="9" t="s">
        <v>51</v>
      </c>
      <c r="C125" s="9" t="s">
        <v>155</v>
      </c>
      <c r="D125" s="9" t="s">
        <v>32</v>
      </c>
      <c r="E125" s="22">
        <f>1146000+4584000</f>
        <v>5730000</v>
      </c>
      <c r="F125" s="22">
        <f>4980000+19920000</f>
        <v>24900000</v>
      </c>
      <c r="G125" s="22">
        <f>4779525+19118100</f>
        <v>23897625</v>
      </c>
    </row>
    <row r="126" spans="1:7" ht="18">
      <c r="A126" s="10" t="s">
        <v>13</v>
      </c>
      <c r="B126" s="9" t="s">
        <v>51</v>
      </c>
      <c r="C126" s="9" t="s">
        <v>155</v>
      </c>
      <c r="D126" s="9" t="s">
        <v>14</v>
      </c>
      <c r="E126" s="22">
        <f>1000000</f>
        <v>1000000</v>
      </c>
      <c r="F126" s="22">
        <f>1000000</f>
        <v>1000000</v>
      </c>
      <c r="G126" s="22">
        <f>1000000</f>
        <v>1000000</v>
      </c>
    </row>
    <row r="127" spans="1:7" ht="75" customHeight="1">
      <c r="A127" s="11" t="s">
        <v>103</v>
      </c>
      <c r="B127" s="8" t="s">
        <v>51</v>
      </c>
      <c r="C127" s="8" t="s">
        <v>137</v>
      </c>
      <c r="D127" s="8" t="s">
        <v>0</v>
      </c>
      <c r="E127" s="21">
        <f>E128+E130+E129</f>
        <v>3474400</v>
      </c>
      <c r="F127" s="21">
        <f>F128+F130+F129</f>
        <v>3447100</v>
      </c>
      <c r="G127" s="21">
        <f>G128+G130+G129</f>
        <v>3427000</v>
      </c>
    </row>
    <row r="128" spans="1:7" ht="54" hidden="1">
      <c r="A128" s="10" t="s">
        <v>10</v>
      </c>
      <c r="B128" s="9" t="s">
        <v>51</v>
      </c>
      <c r="C128" s="9" t="s">
        <v>137</v>
      </c>
      <c r="D128" s="9" t="s">
        <v>11</v>
      </c>
      <c r="E128" s="22"/>
      <c r="F128" s="22"/>
      <c r="G128" s="22"/>
    </row>
    <row r="129" spans="1:7" ht="33" customHeight="1">
      <c r="A129" s="10" t="s">
        <v>25</v>
      </c>
      <c r="B129" s="9" t="s">
        <v>51</v>
      </c>
      <c r="C129" s="9" t="s">
        <v>137</v>
      </c>
      <c r="D129" s="9" t="s">
        <v>26</v>
      </c>
      <c r="E129" s="22">
        <f>2083200</f>
        <v>2083200</v>
      </c>
      <c r="F129" s="22">
        <f>2083200</f>
        <v>2083200</v>
      </c>
      <c r="G129" s="22">
        <f>2083200</f>
        <v>2083200</v>
      </c>
    </row>
    <row r="130" spans="1:7" ht="23.25" customHeight="1">
      <c r="A130" s="10" t="s">
        <v>13</v>
      </c>
      <c r="B130" s="9" t="s">
        <v>51</v>
      </c>
      <c r="C130" s="9" t="s">
        <v>137</v>
      </c>
      <c r="D130" s="9" t="s">
        <v>14</v>
      </c>
      <c r="E130" s="22">
        <f>1391200</f>
        <v>1391200</v>
      </c>
      <c r="F130" s="22">
        <f>1363900</f>
        <v>1363900</v>
      </c>
      <c r="G130" s="22">
        <v>1343800</v>
      </c>
    </row>
    <row r="131" spans="1:7" ht="18" hidden="1">
      <c r="A131" s="11" t="s">
        <v>127</v>
      </c>
      <c r="B131" s="8" t="s">
        <v>126</v>
      </c>
      <c r="C131" s="9"/>
      <c r="D131" s="9"/>
      <c r="E131" s="21">
        <f>E134+E132</f>
        <v>751000</v>
      </c>
      <c r="F131" s="21">
        <f>F134+F132</f>
        <v>701000</v>
      </c>
      <c r="G131" s="21">
        <f>G134+G132</f>
        <v>701000</v>
      </c>
    </row>
    <row r="132" spans="1:7" ht="18" hidden="1">
      <c r="A132" s="11"/>
      <c r="B132" s="8" t="s">
        <v>126</v>
      </c>
      <c r="C132" s="8" t="s">
        <v>156</v>
      </c>
      <c r="D132" s="9"/>
      <c r="E132" s="21">
        <f>E133</f>
        <v>0</v>
      </c>
      <c r="F132" s="21">
        <f>F133</f>
        <v>0</v>
      </c>
      <c r="G132" s="21">
        <f>G133</f>
        <v>0</v>
      </c>
    </row>
    <row r="133" spans="1:7" ht="54" hidden="1">
      <c r="A133" s="10" t="s">
        <v>10</v>
      </c>
      <c r="B133" s="9" t="s">
        <v>126</v>
      </c>
      <c r="C133" s="9" t="s">
        <v>156</v>
      </c>
      <c r="D133" s="9" t="s">
        <v>11</v>
      </c>
      <c r="E133" s="22"/>
      <c r="F133" s="22"/>
      <c r="G133" s="22"/>
    </row>
    <row r="134" spans="1:7" ht="69">
      <c r="A134" s="11" t="s">
        <v>103</v>
      </c>
      <c r="B134" s="8" t="s">
        <v>126</v>
      </c>
      <c r="C134" s="8" t="s">
        <v>137</v>
      </c>
      <c r="D134" s="9"/>
      <c r="E134" s="21">
        <f>E135+E136</f>
        <v>751000</v>
      </c>
      <c r="F134" s="21">
        <f>F135+F136</f>
        <v>701000</v>
      </c>
      <c r="G134" s="21">
        <f>G135+G136</f>
        <v>701000</v>
      </c>
    </row>
    <row r="135" spans="1:7" ht="54">
      <c r="A135" s="10" t="s">
        <v>10</v>
      </c>
      <c r="B135" s="9" t="s">
        <v>126</v>
      </c>
      <c r="C135" s="9" t="s">
        <v>137</v>
      </c>
      <c r="D135" s="9" t="s">
        <v>11</v>
      </c>
      <c r="E135" s="22">
        <f>50000</f>
        <v>50000</v>
      </c>
      <c r="F135" s="22"/>
      <c r="G135" s="22"/>
    </row>
    <row r="136" spans="1:7" ht="18">
      <c r="A136" s="10" t="s">
        <v>25</v>
      </c>
      <c r="B136" s="9" t="s">
        <v>126</v>
      </c>
      <c r="C136" s="9" t="s">
        <v>137</v>
      </c>
      <c r="D136" s="9" t="s">
        <v>26</v>
      </c>
      <c r="E136" s="22">
        <f>701000</f>
        <v>701000</v>
      </c>
      <c r="F136" s="22">
        <f>701000</f>
        <v>701000</v>
      </c>
      <c r="G136" s="22">
        <f>701000</f>
        <v>701000</v>
      </c>
    </row>
    <row r="137" spans="1:7" ht="17.25">
      <c r="A137" s="11" t="s">
        <v>53</v>
      </c>
      <c r="B137" s="8" t="s">
        <v>54</v>
      </c>
      <c r="C137" s="8" t="s">
        <v>0</v>
      </c>
      <c r="D137" s="8" t="s">
        <v>0</v>
      </c>
      <c r="E137" s="21">
        <f>E138+E149+E207+E222+E204+E184</f>
        <v>193969079</v>
      </c>
      <c r="F137" s="21">
        <f>F138+F149+F207+F222+F204+F184</f>
        <v>204920028</v>
      </c>
      <c r="G137" s="21">
        <f>G138+G149+G207+G222+G204+G184</f>
        <v>198598528</v>
      </c>
    </row>
    <row r="138" spans="1:7" ht="17.25">
      <c r="A138" s="11" t="s">
        <v>55</v>
      </c>
      <c r="B138" s="8" t="s">
        <v>56</v>
      </c>
      <c r="C138" s="8" t="s">
        <v>0</v>
      </c>
      <c r="D138" s="8" t="s">
        <v>0</v>
      </c>
      <c r="E138" s="21">
        <f>E145+E139</f>
        <v>20008409</v>
      </c>
      <c r="F138" s="21">
        <f>F145+F139</f>
        <v>20012363</v>
      </c>
      <c r="G138" s="21">
        <f>G145+G139</f>
        <v>20012363</v>
      </c>
    </row>
    <row r="139" spans="1:7" ht="73.5" customHeight="1">
      <c r="A139" s="11" t="s">
        <v>186</v>
      </c>
      <c r="B139" s="8" t="s">
        <v>56</v>
      </c>
      <c r="C139" s="8" t="s">
        <v>157</v>
      </c>
      <c r="D139" s="8"/>
      <c r="E139" s="21">
        <f>E140+E143</f>
        <v>9820213</v>
      </c>
      <c r="F139" s="21">
        <f>F140+F143</f>
        <v>9697663</v>
      </c>
      <c r="G139" s="21">
        <f>G140+G143</f>
        <v>9697663</v>
      </c>
    </row>
    <row r="140" spans="1:7" ht="75" customHeight="1">
      <c r="A140" s="27" t="s">
        <v>194</v>
      </c>
      <c r="B140" s="8" t="s">
        <v>56</v>
      </c>
      <c r="C140" s="8" t="s">
        <v>193</v>
      </c>
      <c r="D140" s="8"/>
      <c r="E140" s="21">
        <f>E142+E141</f>
        <v>7416976</v>
      </c>
      <c r="F140" s="21">
        <f>F142+F141</f>
        <v>7012526</v>
      </c>
      <c r="G140" s="21">
        <f>G142+G141</f>
        <v>7012526</v>
      </c>
    </row>
    <row r="141" spans="1:7" ht="144">
      <c r="A141" s="10" t="s">
        <v>6</v>
      </c>
      <c r="B141" s="9" t="s">
        <v>56</v>
      </c>
      <c r="C141" s="9" t="s">
        <v>193</v>
      </c>
      <c r="D141" s="9" t="s">
        <v>7</v>
      </c>
      <c r="E141" s="22">
        <f>4958091</f>
        <v>4958091</v>
      </c>
      <c r="F141" s="22">
        <f>4948091</f>
        <v>4948091</v>
      </c>
      <c r="G141" s="22">
        <f>4948091</f>
        <v>4948091</v>
      </c>
    </row>
    <row r="142" spans="1:7" ht="54">
      <c r="A142" s="10" t="s">
        <v>10</v>
      </c>
      <c r="B142" s="9" t="s">
        <v>56</v>
      </c>
      <c r="C142" s="9" t="s">
        <v>193</v>
      </c>
      <c r="D142" s="9" t="s">
        <v>11</v>
      </c>
      <c r="E142" s="22">
        <f>4859022-2400137</f>
        <v>2458885</v>
      </c>
      <c r="F142" s="22">
        <f>4749572-2685137</f>
        <v>2064435</v>
      </c>
      <c r="G142" s="22">
        <f>4749572-2685137</f>
        <v>2064435</v>
      </c>
    </row>
    <row r="143" spans="1:7" ht="51.75">
      <c r="A143" s="28" t="s">
        <v>195</v>
      </c>
      <c r="B143" s="8" t="s">
        <v>56</v>
      </c>
      <c r="C143" s="8" t="s">
        <v>159</v>
      </c>
      <c r="D143" s="8"/>
      <c r="E143" s="21">
        <f>E144</f>
        <v>2403237</v>
      </c>
      <c r="F143" s="21">
        <f>F144</f>
        <v>2685137</v>
      </c>
      <c r="G143" s="21">
        <f>G144</f>
        <v>2685137</v>
      </c>
    </row>
    <row r="144" spans="1:7" ht="54">
      <c r="A144" s="10" t="s">
        <v>10</v>
      </c>
      <c r="B144" s="9" t="s">
        <v>56</v>
      </c>
      <c r="C144" s="9" t="s">
        <v>159</v>
      </c>
      <c r="D144" s="9" t="s">
        <v>11</v>
      </c>
      <c r="E144" s="22">
        <f>3100+2400137</f>
        <v>2403237</v>
      </c>
      <c r="F144" s="22">
        <f>2685137</f>
        <v>2685137</v>
      </c>
      <c r="G144" s="22">
        <f>2685137</f>
        <v>2685137</v>
      </c>
    </row>
    <row r="145" spans="1:7" ht="69">
      <c r="A145" s="11" t="s">
        <v>103</v>
      </c>
      <c r="B145" s="8" t="s">
        <v>56</v>
      </c>
      <c r="C145" s="8" t="s">
        <v>137</v>
      </c>
      <c r="D145" s="8" t="s">
        <v>0</v>
      </c>
      <c r="E145" s="21">
        <f>E146+E148+E147</f>
        <v>10188196</v>
      </c>
      <c r="F145" s="21">
        <f>F146+F148+F147</f>
        <v>10314700</v>
      </c>
      <c r="G145" s="21">
        <f>G146+G148+G147</f>
        <v>10314700</v>
      </c>
    </row>
    <row r="146" spans="1:7" ht="144">
      <c r="A146" s="10" t="s">
        <v>6</v>
      </c>
      <c r="B146" s="9" t="s">
        <v>56</v>
      </c>
      <c r="C146" s="9" t="s">
        <v>137</v>
      </c>
      <c r="D146" s="9" t="s">
        <v>7</v>
      </c>
      <c r="E146" s="22">
        <f>3929092+1186585+1309697+395528+1879061+567477+626353+189159</f>
        <v>10082952</v>
      </c>
      <c r="F146" s="22">
        <f>3979161+1201707+1326387+400569+1903070+574727+634356+191576</f>
        <v>10211553</v>
      </c>
      <c r="G146" s="22">
        <f>3979161+1201707+1326387+400569+1903070+574727+634356+191576</f>
        <v>10211553</v>
      </c>
    </row>
    <row r="147" spans="1:7" ht="54">
      <c r="A147" s="10" t="s">
        <v>10</v>
      </c>
      <c r="B147" s="9" t="s">
        <v>56</v>
      </c>
      <c r="C147" s="9" t="s">
        <v>137</v>
      </c>
      <c r="D147" s="9" t="s">
        <v>11</v>
      </c>
      <c r="E147" s="22">
        <f>20161+48737+32950</f>
        <v>101848</v>
      </c>
      <c r="F147" s="22">
        <f>20161+49615+33371</f>
        <v>103147</v>
      </c>
      <c r="G147" s="22">
        <f>20161+49615+33371</f>
        <v>103147</v>
      </c>
    </row>
    <row r="148" spans="1:7" ht="18">
      <c r="A148" s="10" t="s">
        <v>13</v>
      </c>
      <c r="B148" s="9" t="s">
        <v>56</v>
      </c>
      <c r="C148" s="9" t="s">
        <v>137</v>
      </c>
      <c r="D148" s="9" t="s">
        <v>14</v>
      </c>
      <c r="E148" s="22">
        <f>3396</f>
        <v>3396</v>
      </c>
      <c r="F148" s="22"/>
      <c r="G148" s="22"/>
    </row>
    <row r="149" spans="1:7" ht="17.25">
      <c r="A149" s="11" t="s">
        <v>57</v>
      </c>
      <c r="B149" s="8" t="s">
        <v>58</v>
      </c>
      <c r="C149" s="8" t="s">
        <v>0</v>
      </c>
      <c r="D149" s="8" t="s">
        <v>0</v>
      </c>
      <c r="E149" s="21">
        <f>E150+E176+E178+E173</f>
        <v>139984838</v>
      </c>
      <c r="F149" s="21">
        <f>F150+F176+F178+F173</f>
        <v>152253977</v>
      </c>
      <c r="G149" s="21">
        <f>G150+G176+G178+G173</f>
        <v>145932477</v>
      </c>
    </row>
    <row r="150" spans="1:7" ht="95.25" customHeight="1">
      <c r="A150" s="11" t="s">
        <v>186</v>
      </c>
      <c r="B150" s="8" t="s">
        <v>58</v>
      </c>
      <c r="C150" s="8" t="s">
        <v>141</v>
      </c>
      <c r="D150" s="8" t="s">
        <v>0</v>
      </c>
      <c r="E150" s="21">
        <f>E151+E154+E158+E161+E164+E167+E170</f>
        <v>53035519</v>
      </c>
      <c r="F150" s="21">
        <f>F151+F154+F158+F161+F164+F167+F170</f>
        <v>43147458</v>
      </c>
      <c r="G150" s="21">
        <f>G151+G154+G158+G161+G164+G167+G170</f>
        <v>43306358</v>
      </c>
    </row>
    <row r="151" spans="1:7" ht="34.5" hidden="1">
      <c r="A151" s="17" t="s">
        <v>105</v>
      </c>
      <c r="B151" s="8" t="s">
        <v>58</v>
      </c>
      <c r="C151" s="8" t="s">
        <v>111</v>
      </c>
      <c r="D151" s="8"/>
      <c r="E151" s="21">
        <f>SUM(E152:E153)</f>
        <v>0</v>
      </c>
      <c r="F151" s="21">
        <f>SUM(F152:F153)</f>
        <v>0</v>
      </c>
      <c r="G151" s="21">
        <f>SUM(G152:G153)</f>
        <v>0</v>
      </c>
    </row>
    <row r="152" spans="1:7" ht="54" hidden="1">
      <c r="A152" s="10" t="s">
        <v>10</v>
      </c>
      <c r="B152" s="9" t="s">
        <v>58</v>
      </c>
      <c r="C152" s="9" t="s">
        <v>111</v>
      </c>
      <c r="D152" s="9" t="s">
        <v>11</v>
      </c>
      <c r="E152" s="21"/>
      <c r="F152" s="21"/>
      <c r="G152" s="21"/>
    </row>
    <row r="153" spans="1:7" ht="72" hidden="1">
      <c r="A153" s="10" t="s">
        <v>27</v>
      </c>
      <c r="B153" s="9" t="s">
        <v>58</v>
      </c>
      <c r="C153" s="9" t="s">
        <v>111</v>
      </c>
      <c r="D153" s="9" t="s">
        <v>28</v>
      </c>
      <c r="E153" s="21"/>
      <c r="F153" s="21"/>
      <c r="G153" s="21"/>
    </row>
    <row r="154" spans="1:7" ht="81" customHeight="1">
      <c r="A154" s="28" t="s">
        <v>194</v>
      </c>
      <c r="B154" s="8" t="s">
        <v>58</v>
      </c>
      <c r="C154" s="8" t="s">
        <v>192</v>
      </c>
      <c r="D154" s="8"/>
      <c r="E154" s="21">
        <f>SUM(E155:E156)+E157</f>
        <v>30496912</v>
      </c>
      <c r="F154" s="21">
        <f>SUM(F155:F156)+F157</f>
        <v>27631386</v>
      </c>
      <c r="G154" s="21">
        <f>SUM(G155:G156)+G157</f>
        <v>27631386</v>
      </c>
    </row>
    <row r="155" spans="1:7" ht="133.5" customHeight="1">
      <c r="A155" s="10" t="s">
        <v>6</v>
      </c>
      <c r="B155" s="9" t="s">
        <v>58</v>
      </c>
      <c r="C155" s="9" t="s">
        <v>193</v>
      </c>
      <c r="D155" s="9" t="s">
        <v>7</v>
      </c>
      <c r="E155" s="22">
        <f>1080643+11405500</f>
        <v>12486143</v>
      </c>
      <c r="F155" s="22">
        <f>1249878+11405500</f>
        <v>12655378</v>
      </c>
      <c r="G155" s="22">
        <f>1249878+11405500</f>
        <v>12655378</v>
      </c>
    </row>
    <row r="156" spans="1:7" ht="57.75" customHeight="1">
      <c r="A156" s="10" t="s">
        <v>10</v>
      </c>
      <c r="B156" s="9" t="s">
        <v>58</v>
      </c>
      <c r="C156" s="9" t="s">
        <v>192</v>
      </c>
      <c r="D156" s="9" t="s">
        <v>11</v>
      </c>
      <c r="E156" s="22">
        <f>18010769</f>
        <v>18010769</v>
      </c>
      <c r="F156" s="22">
        <f>14976008</f>
        <v>14976008</v>
      </c>
      <c r="G156" s="22">
        <f>14976008</f>
        <v>14976008</v>
      </c>
    </row>
    <row r="157" spans="1:7" ht="36" hidden="1">
      <c r="A157" s="10" t="s">
        <v>33</v>
      </c>
      <c r="B157" s="9" t="s">
        <v>58</v>
      </c>
      <c r="C157" s="9" t="s">
        <v>192</v>
      </c>
      <c r="D157" s="9" t="s">
        <v>34</v>
      </c>
      <c r="E157" s="22"/>
      <c r="F157" s="22"/>
      <c r="G157" s="22"/>
    </row>
    <row r="158" spans="1:7" ht="68.25" customHeight="1">
      <c r="A158" s="28" t="s">
        <v>195</v>
      </c>
      <c r="B158" s="8" t="s">
        <v>58</v>
      </c>
      <c r="C158" s="8" t="s">
        <v>159</v>
      </c>
      <c r="D158" s="8"/>
      <c r="E158" s="21">
        <f>SUM(E159:E160)</f>
        <v>22538607</v>
      </c>
      <c r="F158" s="21">
        <f>SUM(F159:F160)</f>
        <v>15516072</v>
      </c>
      <c r="G158" s="21">
        <f>SUM(G159:G160)</f>
        <v>15674972</v>
      </c>
    </row>
    <row r="159" spans="1:7" ht="57" customHeight="1">
      <c r="A159" s="10" t="s">
        <v>10</v>
      </c>
      <c r="B159" s="9" t="s">
        <v>58</v>
      </c>
      <c r="C159" s="9" t="s">
        <v>159</v>
      </c>
      <c r="D159" s="9" t="s">
        <v>11</v>
      </c>
      <c r="E159" s="22">
        <f>4954607+5184000+5400000+1000000+1000000+5000000</f>
        <v>22538607</v>
      </c>
      <c r="F159" s="22">
        <f>3256772+5259300+1000000+1000000+5000000</f>
        <v>15516072</v>
      </c>
      <c r="G159" s="22">
        <f>3256772+5418200+1000000+1000000+5000000</f>
        <v>15674972</v>
      </c>
    </row>
    <row r="160" spans="1:7" ht="72" hidden="1">
      <c r="A160" s="10" t="s">
        <v>27</v>
      </c>
      <c r="B160" s="9" t="s">
        <v>58</v>
      </c>
      <c r="C160" s="9" t="s">
        <v>159</v>
      </c>
      <c r="D160" s="9" t="s">
        <v>28</v>
      </c>
      <c r="E160" s="21"/>
      <c r="F160" s="21"/>
      <c r="G160" s="21"/>
    </row>
    <row r="161" spans="1:7" ht="40.5" customHeight="1" hidden="1">
      <c r="A161" s="26"/>
      <c r="B161" s="8" t="s">
        <v>58</v>
      </c>
      <c r="C161" s="8" t="s">
        <v>200</v>
      </c>
      <c r="D161" s="8"/>
      <c r="E161" s="21">
        <f>SUM(E162:E163)</f>
        <v>0</v>
      </c>
      <c r="F161" s="21">
        <f>SUM(F162:F163)</f>
        <v>0</v>
      </c>
      <c r="G161" s="21">
        <f>SUM(G162:G163)</f>
        <v>0</v>
      </c>
    </row>
    <row r="162" spans="1:7" ht="54.75" customHeight="1" hidden="1">
      <c r="A162" s="10" t="s">
        <v>10</v>
      </c>
      <c r="B162" s="9" t="s">
        <v>58</v>
      </c>
      <c r="C162" s="9" t="s">
        <v>200</v>
      </c>
      <c r="D162" s="9" t="s">
        <v>11</v>
      </c>
      <c r="E162" s="22"/>
      <c r="F162" s="22"/>
      <c r="G162" s="22"/>
    </row>
    <row r="163" spans="1:7" ht="0.75" customHeight="1" hidden="1">
      <c r="A163" s="10" t="s">
        <v>27</v>
      </c>
      <c r="B163" s="9" t="s">
        <v>58</v>
      </c>
      <c r="C163" s="9" t="s">
        <v>113</v>
      </c>
      <c r="D163" s="9" t="s">
        <v>28</v>
      </c>
      <c r="E163" s="22"/>
      <c r="F163" s="22"/>
      <c r="G163" s="22"/>
    </row>
    <row r="164" spans="1:7" ht="0.75" customHeight="1" hidden="1">
      <c r="A164" s="17" t="s">
        <v>108</v>
      </c>
      <c r="B164" s="8" t="s">
        <v>58</v>
      </c>
      <c r="C164" s="8" t="s">
        <v>114</v>
      </c>
      <c r="D164" s="8"/>
      <c r="E164" s="21">
        <f>SUM(E165:E166)</f>
        <v>0</v>
      </c>
      <c r="F164" s="21">
        <f>SUM(F165:F166)</f>
        <v>0</v>
      </c>
      <c r="G164" s="21">
        <f>SUM(G165:G166)</f>
        <v>0</v>
      </c>
    </row>
    <row r="165" spans="1:7" ht="54" hidden="1">
      <c r="A165" s="10" t="s">
        <v>10</v>
      </c>
      <c r="B165" s="9" t="s">
        <v>58</v>
      </c>
      <c r="C165" s="9" t="s">
        <v>114</v>
      </c>
      <c r="D165" s="9" t="s">
        <v>11</v>
      </c>
      <c r="E165" s="21"/>
      <c r="F165" s="21"/>
      <c r="G165" s="21"/>
    </row>
    <row r="166" spans="1:7" ht="72" hidden="1">
      <c r="A166" s="10" t="s">
        <v>27</v>
      </c>
      <c r="B166" s="9" t="s">
        <v>58</v>
      </c>
      <c r="C166" s="9" t="s">
        <v>114</v>
      </c>
      <c r="D166" s="9" t="s">
        <v>28</v>
      </c>
      <c r="E166" s="21"/>
      <c r="F166" s="21"/>
      <c r="G166" s="21"/>
    </row>
    <row r="167" spans="1:7" ht="51.75" hidden="1">
      <c r="A167" s="17" t="s">
        <v>109</v>
      </c>
      <c r="B167" s="8" t="s">
        <v>58</v>
      </c>
      <c r="C167" s="8" t="s">
        <v>115</v>
      </c>
      <c r="D167" s="8"/>
      <c r="E167" s="21">
        <f>SUM(E168:E169)</f>
        <v>0</v>
      </c>
      <c r="F167" s="21">
        <f>SUM(F168:F169)</f>
        <v>0</v>
      </c>
      <c r="G167" s="21">
        <f>SUM(G168:G169)</f>
        <v>0</v>
      </c>
    </row>
    <row r="168" spans="1:7" ht="54" hidden="1">
      <c r="A168" s="10" t="s">
        <v>10</v>
      </c>
      <c r="B168" s="9" t="s">
        <v>58</v>
      </c>
      <c r="C168" s="9" t="s">
        <v>115</v>
      </c>
      <c r="D168" s="9" t="s">
        <v>11</v>
      </c>
      <c r="E168" s="21"/>
      <c r="F168" s="21"/>
      <c r="G168" s="21"/>
    </row>
    <row r="169" spans="1:7" ht="69.75" customHeight="1" hidden="1">
      <c r="A169" s="10" t="s">
        <v>27</v>
      </c>
      <c r="B169" s="9" t="s">
        <v>58</v>
      </c>
      <c r="C169" s="9" t="s">
        <v>115</v>
      </c>
      <c r="D169" s="9" t="s">
        <v>28</v>
      </c>
      <c r="E169" s="21"/>
      <c r="F169" s="21"/>
      <c r="G169" s="21"/>
    </row>
    <row r="170" spans="1:7" ht="87" hidden="1">
      <c r="A170" s="17" t="s">
        <v>110</v>
      </c>
      <c r="B170" s="8" t="s">
        <v>58</v>
      </c>
      <c r="C170" s="8" t="s">
        <v>116</v>
      </c>
      <c r="D170" s="8"/>
      <c r="E170" s="21">
        <f>SUM(E171:E172)</f>
        <v>0</v>
      </c>
      <c r="F170" s="21">
        <f>SUM(F171:F172)</f>
        <v>0</v>
      </c>
      <c r="G170" s="21">
        <f>SUM(G171:G172)</f>
        <v>0</v>
      </c>
    </row>
    <row r="171" spans="1:7" ht="54" hidden="1">
      <c r="A171" s="10" t="s">
        <v>10</v>
      </c>
      <c r="B171" s="9" t="s">
        <v>58</v>
      </c>
      <c r="C171" s="9" t="s">
        <v>116</v>
      </c>
      <c r="D171" s="9" t="s">
        <v>11</v>
      </c>
      <c r="E171" s="21"/>
      <c r="F171" s="21"/>
      <c r="G171" s="21"/>
    </row>
    <row r="172" spans="1:7" ht="72" hidden="1">
      <c r="A172" s="10" t="s">
        <v>27</v>
      </c>
      <c r="B172" s="9" t="s">
        <v>58</v>
      </c>
      <c r="C172" s="9" t="s">
        <v>116</v>
      </c>
      <c r="D172" s="9" t="s">
        <v>28</v>
      </c>
      <c r="E172" s="21"/>
      <c r="F172" s="21"/>
      <c r="G172" s="21"/>
    </row>
    <row r="173" spans="1:7" ht="87" hidden="1">
      <c r="A173" s="11" t="s">
        <v>160</v>
      </c>
      <c r="B173" s="8" t="s">
        <v>58</v>
      </c>
      <c r="C173" s="8" t="s">
        <v>166</v>
      </c>
      <c r="D173" s="8"/>
      <c r="E173" s="21">
        <f>E174</f>
        <v>0</v>
      </c>
      <c r="F173" s="21">
        <f>F174</f>
        <v>0</v>
      </c>
      <c r="G173" s="21">
        <f>G174</f>
        <v>0</v>
      </c>
    </row>
    <row r="174" spans="1:7" ht="70.5" customHeight="1" hidden="1">
      <c r="A174" s="10" t="s">
        <v>27</v>
      </c>
      <c r="B174" s="9" t="s">
        <v>58</v>
      </c>
      <c r="C174" s="9" t="s">
        <v>166</v>
      </c>
      <c r="D174" s="9" t="s">
        <v>28</v>
      </c>
      <c r="E174" s="22"/>
      <c r="F174" s="22"/>
      <c r="G174" s="22"/>
    </row>
    <row r="175" spans="1:7" ht="18" hidden="1">
      <c r="A175" s="10"/>
      <c r="B175" s="9"/>
      <c r="C175" s="9"/>
      <c r="D175" s="9"/>
      <c r="E175" s="21"/>
      <c r="F175" s="21"/>
      <c r="G175" s="21"/>
    </row>
    <row r="176" spans="1:7" ht="121.5" hidden="1">
      <c r="A176" s="17" t="s">
        <v>117</v>
      </c>
      <c r="B176" s="8" t="s">
        <v>58</v>
      </c>
      <c r="C176" s="8" t="s">
        <v>62</v>
      </c>
      <c r="D176" s="9"/>
      <c r="E176" s="21">
        <f>E177</f>
        <v>0</v>
      </c>
      <c r="F176" s="21">
        <f>F177</f>
        <v>0</v>
      </c>
      <c r="G176" s="21">
        <f>G177</f>
        <v>0</v>
      </c>
    </row>
    <row r="177" spans="1:7" ht="72" hidden="1">
      <c r="A177" s="10" t="s">
        <v>31</v>
      </c>
      <c r="B177" s="9" t="s">
        <v>58</v>
      </c>
      <c r="C177" s="9" t="s">
        <v>62</v>
      </c>
      <c r="D177" s="9" t="s">
        <v>32</v>
      </c>
      <c r="E177" s="22"/>
      <c r="F177" s="22"/>
      <c r="G177" s="22"/>
    </row>
    <row r="178" spans="1:7" ht="76.5" customHeight="1">
      <c r="A178" s="11" t="s">
        <v>103</v>
      </c>
      <c r="B178" s="8" t="s">
        <v>58</v>
      </c>
      <c r="C178" s="8" t="s">
        <v>137</v>
      </c>
      <c r="D178" s="8" t="s">
        <v>0</v>
      </c>
      <c r="E178" s="21">
        <f>SUM(E179:E183)</f>
        <v>86949319</v>
      </c>
      <c r="F178" s="21">
        <f>SUM(F179:F183)</f>
        <v>109106519</v>
      </c>
      <c r="G178" s="21">
        <f>SUM(G179:G183)</f>
        <v>102626119</v>
      </c>
    </row>
    <row r="179" spans="1:7" ht="144">
      <c r="A179" s="10" t="s">
        <v>6</v>
      </c>
      <c r="B179" s="9" t="s">
        <v>58</v>
      </c>
      <c r="C179" s="9" t="s">
        <v>137</v>
      </c>
      <c r="D179" s="9" t="s">
        <v>7</v>
      </c>
      <c r="E179" s="22">
        <f>47460005+14332921+13386155+4042619+113057+34143</f>
        <v>79368900</v>
      </c>
      <c r="F179" s="22">
        <f>60414834+18245280+17040081+5146105+135792+41008</f>
        <v>101023100</v>
      </c>
      <c r="G179" s="22">
        <f>56351825+17018251+15894104+4800020+130953+39547</f>
        <v>94234700</v>
      </c>
    </row>
    <row r="180" spans="1:7" ht="53.25" customHeight="1">
      <c r="A180" s="10" t="s">
        <v>10</v>
      </c>
      <c r="B180" s="9" t="s">
        <v>58</v>
      </c>
      <c r="C180" s="9" t="s">
        <v>137</v>
      </c>
      <c r="D180" s="9" t="s">
        <v>11</v>
      </c>
      <c r="E180" s="22">
        <f>239500+2100000+110500+4560000</f>
        <v>7010000</v>
      </c>
      <c r="F180" s="22">
        <f>239500+2860500+4459500</f>
        <v>7559500</v>
      </c>
      <c r="G180" s="22">
        <f>239500+3060500+4567500</f>
        <v>7867500</v>
      </c>
    </row>
    <row r="181" spans="1:7" ht="36">
      <c r="A181" s="10" t="s">
        <v>33</v>
      </c>
      <c r="B181" s="9" t="s">
        <v>58</v>
      </c>
      <c r="C181" s="9" t="s">
        <v>137</v>
      </c>
      <c r="D181" s="9" t="s">
        <v>34</v>
      </c>
      <c r="E181" s="22">
        <f>46500</f>
        <v>46500</v>
      </c>
      <c r="F181" s="22"/>
      <c r="G181" s="22"/>
    </row>
    <row r="182" spans="1:7" ht="72" hidden="1">
      <c r="A182" s="10" t="s">
        <v>27</v>
      </c>
      <c r="B182" s="9" t="s">
        <v>58</v>
      </c>
      <c r="C182" s="9" t="s">
        <v>137</v>
      </c>
      <c r="D182" s="9" t="s">
        <v>28</v>
      </c>
      <c r="E182" s="22"/>
      <c r="F182" s="22"/>
      <c r="G182" s="22"/>
    </row>
    <row r="183" spans="1:7" ht="24" customHeight="1">
      <c r="A183" s="10" t="s">
        <v>13</v>
      </c>
      <c r="B183" s="9" t="s">
        <v>58</v>
      </c>
      <c r="C183" s="9" t="s">
        <v>137</v>
      </c>
      <c r="D183" s="9" t="s">
        <v>14</v>
      </c>
      <c r="E183" s="22">
        <f>523919</f>
        <v>523919</v>
      </c>
      <c r="F183" s="22">
        <f>523919</f>
        <v>523919</v>
      </c>
      <c r="G183" s="22">
        <f>523919</f>
        <v>523919</v>
      </c>
    </row>
    <row r="184" spans="1:7" ht="40.5" customHeight="1">
      <c r="A184" s="11" t="s">
        <v>170</v>
      </c>
      <c r="B184" s="8" t="s">
        <v>169</v>
      </c>
      <c r="C184" s="9"/>
      <c r="D184" s="9"/>
      <c r="E184" s="21">
        <f>E185+E196+E199</f>
        <v>16995825</v>
      </c>
      <c r="F184" s="21">
        <f>F185+F196+F199</f>
        <v>16870933</v>
      </c>
      <c r="G184" s="21">
        <f>G185+G196+G199</f>
        <v>16870933</v>
      </c>
    </row>
    <row r="185" spans="1:7" ht="99" customHeight="1">
      <c r="A185" s="11" t="s">
        <v>186</v>
      </c>
      <c r="B185" s="8" t="s">
        <v>169</v>
      </c>
      <c r="C185" s="8" t="s">
        <v>157</v>
      </c>
      <c r="D185" s="9"/>
      <c r="E185" s="21">
        <f>E189+E186+E193</f>
        <v>4433738</v>
      </c>
      <c r="F185" s="21">
        <f>F189+F186+F193</f>
        <v>4396338</v>
      </c>
      <c r="G185" s="21">
        <f>G189+G186+G193</f>
        <v>4396338</v>
      </c>
    </row>
    <row r="186" spans="1:7" ht="99" customHeight="1">
      <c r="A186" s="28" t="s">
        <v>194</v>
      </c>
      <c r="B186" s="8" t="s">
        <v>169</v>
      </c>
      <c r="C186" s="8" t="s">
        <v>192</v>
      </c>
      <c r="D186" s="8"/>
      <c r="E186" s="21">
        <f>SUM(E187:E188)</f>
        <v>2890366</v>
      </c>
      <c r="F186" s="21">
        <f>SUM(F187:F188)</f>
        <v>2852966</v>
      </c>
      <c r="G186" s="21">
        <f>SUM(G187:G188)</f>
        <v>2852966</v>
      </c>
    </row>
    <row r="187" spans="1:7" ht="129" customHeight="1">
      <c r="A187" s="10" t="s">
        <v>6</v>
      </c>
      <c r="B187" s="9" t="s">
        <v>169</v>
      </c>
      <c r="C187" s="9" t="s">
        <v>193</v>
      </c>
      <c r="D187" s="9" t="s">
        <v>7</v>
      </c>
      <c r="E187" s="22">
        <f>2794676</f>
        <v>2794676</v>
      </c>
      <c r="F187" s="22">
        <f>2794676</f>
        <v>2794676</v>
      </c>
      <c r="G187" s="22">
        <f>2794676</f>
        <v>2794676</v>
      </c>
    </row>
    <row r="188" spans="1:7" ht="99" customHeight="1">
      <c r="A188" s="10" t="s">
        <v>10</v>
      </c>
      <c r="B188" s="9" t="s">
        <v>169</v>
      </c>
      <c r="C188" s="9" t="s">
        <v>192</v>
      </c>
      <c r="D188" s="9" t="s">
        <v>11</v>
      </c>
      <c r="E188" s="22">
        <f>95690</f>
        <v>95690</v>
      </c>
      <c r="F188" s="22">
        <f>58290</f>
        <v>58290</v>
      </c>
      <c r="G188" s="22">
        <f>58290</f>
        <v>58290</v>
      </c>
    </row>
    <row r="189" spans="1:7" ht="61.5" customHeight="1">
      <c r="A189" s="11" t="s">
        <v>195</v>
      </c>
      <c r="B189" s="8" t="s">
        <v>169</v>
      </c>
      <c r="C189" s="8" t="s">
        <v>158</v>
      </c>
      <c r="D189" s="9"/>
      <c r="E189" s="21">
        <f>E190+E191+E192</f>
        <v>706112</v>
      </c>
      <c r="F189" s="21">
        <f>F190+F191+F192</f>
        <v>706112</v>
      </c>
      <c r="G189" s="21">
        <f>G190+G191+G192</f>
        <v>706112</v>
      </c>
    </row>
    <row r="190" spans="1:7" ht="144">
      <c r="A190" s="10" t="s">
        <v>6</v>
      </c>
      <c r="B190" s="9" t="s">
        <v>169</v>
      </c>
      <c r="C190" s="9" t="s">
        <v>158</v>
      </c>
      <c r="D190" s="9" t="s">
        <v>7</v>
      </c>
      <c r="E190" s="22">
        <f>403132+121745</f>
        <v>524877</v>
      </c>
      <c r="F190" s="22">
        <f>403132+121745</f>
        <v>524877</v>
      </c>
      <c r="G190" s="22">
        <f>403132+121745</f>
        <v>524877</v>
      </c>
    </row>
    <row r="191" spans="1:7" ht="57.75" customHeight="1">
      <c r="A191" s="10" t="s">
        <v>10</v>
      </c>
      <c r="B191" s="9" t="s">
        <v>169</v>
      </c>
      <c r="C191" s="9" t="s">
        <v>158</v>
      </c>
      <c r="D191" s="9" t="s">
        <v>11</v>
      </c>
      <c r="E191" s="22">
        <f>70612+110623</f>
        <v>181235</v>
      </c>
      <c r="F191" s="22">
        <f>70612+110623</f>
        <v>181235</v>
      </c>
      <c r="G191" s="22">
        <f>70612+110623</f>
        <v>181235</v>
      </c>
    </row>
    <row r="192" spans="1:7" ht="72" hidden="1">
      <c r="A192" s="10" t="s">
        <v>27</v>
      </c>
      <c r="B192" s="9" t="s">
        <v>169</v>
      </c>
      <c r="C192" s="9" t="s">
        <v>158</v>
      </c>
      <c r="D192" s="9" t="s">
        <v>28</v>
      </c>
      <c r="E192" s="22"/>
      <c r="F192" s="22"/>
      <c r="G192" s="22"/>
    </row>
    <row r="193" spans="1:7" ht="87">
      <c r="A193" s="27" t="s">
        <v>201</v>
      </c>
      <c r="B193" s="8" t="s">
        <v>169</v>
      </c>
      <c r="C193" s="8" t="s">
        <v>202</v>
      </c>
      <c r="D193" s="9"/>
      <c r="E193" s="21">
        <f>SUM(E194:E195)</f>
        <v>837260</v>
      </c>
      <c r="F193" s="21">
        <f>SUM(F194:F195)</f>
        <v>837260</v>
      </c>
      <c r="G193" s="21">
        <f>SUM(G194:G195)</f>
        <v>837260</v>
      </c>
    </row>
    <row r="194" spans="1:7" ht="144">
      <c r="A194" s="10" t="s">
        <v>6</v>
      </c>
      <c r="B194" s="9" t="s">
        <v>169</v>
      </c>
      <c r="C194" s="9" t="s">
        <v>202</v>
      </c>
      <c r="D194" s="9" t="s">
        <v>7</v>
      </c>
      <c r="E194" s="22">
        <f>820260</f>
        <v>820260</v>
      </c>
      <c r="F194" s="22">
        <f>820260</f>
        <v>820260</v>
      </c>
      <c r="G194" s="22">
        <f>820260</f>
        <v>820260</v>
      </c>
    </row>
    <row r="195" spans="1:7" ht="54">
      <c r="A195" s="10" t="s">
        <v>10</v>
      </c>
      <c r="B195" s="9" t="s">
        <v>169</v>
      </c>
      <c r="C195" s="9" t="s">
        <v>202</v>
      </c>
      <c r="D195" s="9" t="s">
        <v>11</v>
      </c>
      <c r="E195" s="22">
        <f>17000</f>
        <v>17000</v>
      </c>
      <c r="F195" s="22">
        <f>17000</f>
        <v>17000</v>
      </c>
      <c r="G195" s="22">
        <f>17000</f>
        <v>17000</v>
      </c>
    </row>
    <row r="196" spans="1:7" ht="111" customHeight="1">
      <c r="A196" s="27" t="s">
        <v>187</v>
      </c>
      <c r="B196" s="8" t="s">
        <v>169</v>
      </c>
      <c r="C196" s="8" t="s">
        <v>166</v>
      </c>
      <c r="D196" s="8"/>
      <c r="E196" s="21">
        <f>E198+E197</f>
        <v>11689776</v>
      </c>
      <c r="F196" s="21">
        <f>F198+F197</f>
        <v>11624776</v>
      </c>
      <c r="G196" s="21">
        <f>G198+G197</f>
        <v>11624776</v>
      </c>
    </row>
    <row r="197" spans="1:7" ht="111" customHeight="1">
      <c r="A197" s="10" t="s">
        <v>6</v>
      </c>
      <c r="B197" s="9" t="s">
        <v>169</v>
      </c>
      <c r="C197" s="9" t="s">
        <v>166</v>
      </c>
      <c r="D197" s="9" t="s">
        <v>7</v>
      </c>
      <c r="E197" s="22">
        <f>11156095</f>
        <v>11156095</v>
      </c>
      <c r="F197" s="22">
        <f>11156095</f>
        <v>11156095</v>
      </c>
      <c r="G197" s="22">
        <f>11156095</f>
        <v>11156095</v>
      </c>
    </row>
    <row r="198" spans="1:7" ht="54">
      <c r="A198" s="10" t="s">
        <v>10</v>
      </c>
      <c r="B198" s="9" t="s">
        <v>169</v>
      </c>
      <c r="C198" s="9" t="s">
        <v>166</v>
      </c>
      <c r="D198" s="9" t="s">
        <v>11</v>
      </c>
      <c r="E198" s="22">
        <f>533681</f>
        <v>533681</v>
      </c>
      <c r="F198" s="22">
        <f>468681</f>
        <v>468681</v>
      </c>
      <c r="G198" s="22">
        <f>468681</f>
        <v>468681</v>
      </c>
    </row>
    <row r="199" spans="1:7" ht="75" customHeight="1">
      <c r="A199" s="11" t="s">
        <v>103</v>
      </c>
      <c r="B199" s="8" t="s">
        <v>169</v>
      </c>
      <c r="C199" s="8" t="s">
        <v>151</v>
      </c>
      <c r="D199" s="9"/>
      <c r="E199" s="21">
        <f>E200+E201+E202+E203</f>
        <v>872311</v>
      </c>
      <c r="F199" s="21">
        <f>F200+F201+F202+F203</f>
        <v>849819</v>
      </c>
      <c r="G199" s="21">
        <f>G200+G201+G202+G203</f>
        <v>849819</v>
      </c>
    </row>
    <row r="200" spans="1:7" ht="58.5" customHeight="1" hidden="1">
      <c r="A200" s="10" t="s">
        <v>6</v>
      </c>
      <c r="B200" s="9" t="s">
        <v>169</v>
      </c>
      <c r="C200" s="9" t="s">
        <v>151</v>
      </c>
      <c r="D200" s="9" t="s">
        <v>7</v>
      </c>
      <c r="E200" s="21"/>
      <c r="F200" s="22"/>
      <c r="G200" s="22"/>
    </row>
    <row r="201" spans="1:7" ht="58.5" customHeight="1" hidden="1">
      <c r="A201" s="10" t="s">
        <v>10</v>
      </c>
      <c r="B201" s="9" t="s">
        <v>169</v>
      </c>
      <c r="C201" s="9" t="s">
        <v>151</v>
      </c>
      <c r="D201" s="9" t="s">
        <v>11</v>
      </c>
      <c r="E201" s="21"/>
      <c r="F201" s="22"/>
      <c r="G201" s="22"/>
    </row>
    <row r="202" spans="1:7" ht="89.25" customHeight="1">
      <c r="A202" s="10" t="s">
        <v>27</v>
      </c>
      <c r="B202" s="9" t="s">
        <v>169</v>
      </c>
      <c r="C202" s="9" t="s">
        <v>151</v>
      </c>
      <c r="D202" s="9" t="s">
        <v>28</v>
      </c>
      <c r="E202" s="22">
        <f>849819</f>
        <v>849819</v>
      </c>
      <c r="F202" s="22">
        <f>849819</f>
        <v>849819</v>
      </c>
      <c r="G202" s="22">
        <f>849819</f>
        <v>849819</v>
      </c>
    </row>
    <row r="203" spans="1:7" ht="24.75" customHeight="1">
      <c r="A203" s="10" t="s">
        <v>13</v>
      </c>
      <c r="B203" s="9" t="s">
        <v>169</v>
      </c>
      <c r="C203" s="9" t="s">
        <v>151</v>
      </c>
      <c r="D203" s="9" t="s">
        <v>14</v>
      </c>
      <c r="E203" s="22">
        <f>22492</f>
        <v>22492</v>
      </c>
      <c r="F203" s="22"/>
      <c r="G203" s="22"/>
    </row>
    <row r="204" spans="1:7" ht="62.25" customHeight="1">
      <c r="A204" s="17" t="s">
        <v>129</v>
      </c>
      <c r="B204" s="8" t="s">
        <v>128</v>
      </c>
      <c r="C204" s="8"/>
      <c r="D204" s="8"/>
      <c r="E204" s="21">
        <f aca="true" t="shared" si="5" ref="E204:G205">E205</f>
        <v>40000</v>
      </c>
      <c r="F204" s="21">
        <f t="shared" si="5"/>
        <v>40000</v>
      </c>
      <c r="G204" s="21">
        <f t="shared" si="5"/>
        <v>40000</v>
      </c>
    </row>
    <row r="205" spans="1:7" ht="114" customHeight="1">
      <c r="A205" s="17" t="s">
        <v>179</v>
      </c>
      <c r="B205" s="8" t="s">
        <v>128</v>
      </c>
      <c r="C205" s="8" t="s">
        <v>142</v>
      </c>
      <c r="D205" s="8"/>
      <c r="E205" s="21">
        <f t="shared" si="5"/>
        <v>40000</v>
      </c>
      <c r="F205" s="21">
        <f t="shared" si="5"/>
        <v>40000</v>
      </c>
      <c r="G205" s="21">
        <f t="shared" si="5"/>
        <v>40000</v>
      </c>
    </row>
    <row r="206" spans="1:7" ht="54">
      <c r="A206" s="10" t="s">
        <v>10</v>
      </c>
      <c r="B206" s="9" t="s">
        <v>128</v>
      </c>
      <c r="C206" s="9" t="s">
        <v>142</v>
      </c>
      <c r="D206" s="9" t="s">
        <v>11</v>
      </c>
      <c r="E206" s="22">
        <f>40000</f>
        <v>40000</v>
      </c>
      <c r="F206" s="22">
        <f>40000</f>
        <v>40000</v>
      </c>
      <c r="G206" s="22">
        <f>40000</f>
        <v>40000</v>
      </c>
    </row>
    <row r="207" spans="1:7" ht="39.75" customHeight="1">
      <c r="A207" s="11" t="s">
        <v>59</v>
      </c>
      <c r="B207" s="8" t="s">
        <v>60</v>
      </c>
      <c r="C207" s="8" t="s">
        <v>0</v>
      </c>
      <c r="D207" s="8" t="s">
        <v>0</v>
      </c>
      <c r="E207" s="21">
        <f>E211+E217+E208+E215</f>
        <v>6185742</v>
      </c>
      <c r="F207" s="21">
        <f>F211+F217+F208</f>
        <v>6218865</v>
      </c>
      <c r="G207" s="21">
        <f>G211+G217+G208</f>
        <v>6218865</v>
      </c>
    </row>
    <row r="208" spans="1:7" ht="79.5" customHeight="1">
      <c r="A208" s="17" t="s">
        <v>186</v>
      </c>
      <c r="B208" s="8" t="s">
        <v>60</v>
      </c>
      <c r="C208" s="8" t="s">
        <v>141</v>
      </c>
      <c r="D208" s="8"/>
      <c r="E208" s="21">
        <f aca="true" t="shared" si="6" ref="E208:G209">E209</f>
        <v>1275300</v>
      </c>
      <c r="F208" s="21">
        <f t="shared" si="6"/>
        <v>1515087</v>
      </c>
      <c r="G208" s="21">
        <f t="shared" si="6"/>
        <v>1515087</v>
      </c>
    </row>
    <row r="209" spans="1:7" ht="59.25" customHeight="1">
      <c r="A209" s="17" t="s">
        <v>195</v>
      </c>
      <c r="B209" s="8" t="s">
        <v>60</v>
      </c>
      <c r="C209" s="8" t="s">
        <v>159</v>
      </c>
      <c r="D209" s="8"/>
      <c r="E209" s="21">
        <f t="shared" si="6"/>
        <v>1275300</v>
      </c>
      <c r="F209" s="21">
        <f t="shared" si="6"/>
        <v>1515087</v>
      </c>
      <c r="G209" s="21">
        <f t="shared" si="6"/>
        <v>1515087</v>
      </c>
    </row>
    <row r="210" spans="1:7" ht="54">
      <c r="A210" s="10" t="s">
        <v>10</v>
      </c>
      <c r="B210" s="9" t="s">
        <v>60</v>
      </c>
      <c r="C210" s="9" t="s">
        <v>159</v>
      </c>
      <c r="D210" s="9" t="s">
        <v>11</v>
      </c>
      <c r="E210" s="22">
        <f>1275300</f>
        <v>1275300</v>
      </c>
      <c r="F210" s="22">
        <f>141687+1373400</f>
        <v>1515087</v>
      </c>
      <c r="G210" s="22">
        <f>141687+1373400</f>
        <v>1515087</v>
      </c>
    </row>
    <row r="211" spans="1:7" ht="114" customHeight="1">
      <c r="A211" s="17" t="s">
        <v>188</v>
      </c>
      <c r="B211" s="8" t="s">
        <v>60</v>
      </c>
      <c r="C211" s="8" t="s">
        <v>143</v>
      </c>
      <c r="D211" s="8" t="s">
        <v>0</v>
      </c>
      <c r="E211" s="21">
        <f>SUM(E212:E214)</f>
        <v>4910442</v>
      </c>
      <c r="F211" s="21">
        <f>SUM(F212:F214)</f>
        <v>4703778</v>
      </c>
      <c r="G211" s="21">
        <f>SUM(G212:G214)</f>
        <v>4703778</v>
      </c>
    </row>
    <row r="212" spans="1:7" ht="126" customHeight="1">
      <c r="A212" s="10" t="s">
        <v>6</v>
      </c>
      <c r="B212" s="9" t="s">
        <v>60</v>
      </c>
      <c r="C212" s="9" t="s">
        <v>143</v>
      </c>
      <c r="D212" s="9" t="s">
        <v>7</v>
      </c>
      <c r="E212" s="22">
        <f>4173038</f>
        <v>4173038</v>
      </c>
      <c r="F212" s="22">
        <f>4173038</f>
        <v>4173038</v>
      </c>
      <c r="G212" s="22">
        <f>4173038</f>
        <v>4173038</v>
      </c>
    </row>
    <row r="213" spans="1:7" ht="59.25" customHeight="1">
      <c r="A213" s="10" t="s">
        <v>10</v>
      </c>
      <c r="B213" s="9" t="s">
        <v>60</v>
      </c>
      <c r="C213" s="9" t="s">
        <v>143</v>
      </c>
      <c r="D213" s="9" t="s">
        <v>11</v>
      </c>
      <c r="E213" s="22">
        <v>737404</v>
      </c>
      <c r="F213" s="22">
        <f>530740</f>
        <v>530740</v>
      </c>
      <c r="G213" s="22">
        <f>530740</f>
        <v>530740</v>
      </c>
    </row>
    <row r="214" spans="1:7" ht="36" hidden="1">
      <c r="A214" s="10" t="s">
        <v>33</v>
      </c>
      <c r="B214" s="9" t="s">
        <v>60</v>
      </c>
      <c r="C214" s="9" t="s">
        <v>161</v>
      </c>
      <c r="D214" s="9" t="s">
        <v>34</v>
      </c>
      <c r="E214" s="22"/>
      <c r="F214" s="22"/>
      <c r="G214" s="22"/>
    </row>
    <row r="215" spans="1:7" ht="0.75" customHeight="1" hidden="1">
      <c r="A215" s="11" t="s">
        <v>153</v>
      </c>
      <c r="B215" s="8" t="s">
        <v>60</v>
      </c>
      <c r="C215" s="8" t="s">
        <v>154</v>
      </c>
      <c r="D215" s="8"/>
      <c r="E215" s="21">
        <f>E216</f>
        <v>0</v>
      </c>
      <c r="F215" s="21">
        <f>F216</f>
        <v>0</v>
      </c>
      <c r="G215" s="21">
        <f>G216</f>
        <v>0</v>
      </c>
    </row>
    <row r="216" spans="1:7" ht="54" hidden="1">
      <c r="A216" s="10" t="s">
        <v>10</v>
      </c>
      <c r="B216" s="9" t="s">
        <v>60</v>
      </c>
      <c r="C216" s="9" t="s">
        <v>154</v>
      </c>
      <c r="D216" s="9" t="s">
        <v>11</v>
      </c>
      <c r="E216" s="22"/>
      <c r="F216" s="22"/>
      <c r="G216" s="22"/>
    </row>
    <row r="217" spans="1:7" ht="72" customHeight="1">
      <c r="A217" s="11" t="s">
        <v>103</v>
      </c>
      <c r="B217" s="8" t="s">
        <v>60</v>
      </c>
      <c r="C217" s="8" t="s">
        <v>137</v>
      </c>
      <c r="D217" s="8" t="s">
        <v>0</v>
      </c>
      <c r="E217" s="21">
        <f>SUM(E218:E221)</f>
        <v>0</v>
      </c>
      <c r="F217" s="21">
        <f>SUM(F218:F221)</f>
        <v>0</v>
      </c>
      <c r="G217" s="21">
        <f>SUM(G218:G221)</f>
        <v>0</v>
      </c>
    </row>
    <row r="218" spans="1:7" ht="144" hidden="1">
      <c r="A218" s="10" t="s">
        <v>6</v>
      </c>
      <c r="B218" s="9" t="s">
        <v>60</v>
      </c>
      <c r="C218" s="9" t="s">
        <v>137</v>
      </c>
      <c r="D218" s="9" t="s">
        <v>7</v>
      </c>
      <c r="E218" s="22"/>
      <c r="F218" s="22"/>
      <c r="G218" s="22"/>
    </row>
    <row r="219" spans="1:7" ht="54" customHeight="1" hidden="1">
      <c r="A219" s="10" t="s">
        <v>10</v>
      </c>
      <c r="B219" s="9" t="s">
        <v>60</v>
      </c>
      <c r="C219" s="9" t="s">
        <v>137</v>
      </c>
      <c r="D219" s="9" t="s">
        <v>11</v>
      </c>
      <c r="E219" s="22"/>
      <c r="F219" s="22"/>
      <c r="G219" s="22"/>
    </row>
    <row r="220" spans="1:7" ht="31.5" customHeight="1" hidden="1">
      <c r="A220" s="10" t="s">
        <v>33</v>
      </c>
      <c r="B220" s="9" t="s">
        <v>60</v>
      </c>
      <c r="C220" s="9" t="s">
        <v>137</v>
      </c>
      <c r="D220" s="9" t="s">
        <v>34</v>
      </c>
      <c r="E220" s="22"/>
      <c r="F220" s="22"/>
      <c r="G220" s="22"/>
    </row>
    <row r="221" spans="1:7" ht="33.75" customHeight="1">
      <c r="A221" s="10" t="s">
        <v>13</v>
      </c>
      <c r="B221" s="9" t="s">
        <v>60</v>
      </c>
      <c r="C221" s="9" t="s">
        <v>137</v>
      </c>
      <c r="D221" s="9" t="s">
        <v>14</v>
      </c>
      <c r="E221" s="22"/>
      <c r="F221" s="22"/>
      <c r="G221" s="22"/>
    </row>
    <row r="222" spans="1:7" ht="34.5">
      <c r="A222" s="11" t="s">
        <v>63</v>
      </c>
      <c r="B222" s="8" t="s">
        <v>64</v>
      </c>
      <c r="C222" s="8" t="s">
        <v>0</v>
      </c>
      <c r="D222" s="8" t="s">
        <v>0</v>
      </c>
      <c r="E222" s="21">
        <f>E226+E254+E223+E251+E246+E248</f>
        <v>10754265</v>
      </c>
      <c r="F222" s="21">
        <f>F226+F254+F223+F251+F246+F248</f>
        <v>9523890</v>
      </c>
      <c r="G222" s="21">
        <f>G226+G254+G223+G251+G246+G248</f>
        <v>9523890</v>
      </c>
    </row>
    <row r="223" spans="1:7" ht="147" customHeight="1">
      <c r="A223" s="11" t="s">
        <v>180</v>
      </c>
      <c r="B223" s="8" t="s">
        <v>64</v>
      </c>
      <c r="C223" s="8" t="s">
        <v>136</v>
      </c>
      <c r="D223" s="8"/>
      <c r="E223" s="21">
        <f>SUM(E224:E225)</f>
        <v>2928283</v>
      </c>
      <c r="F223" s="21">
        <f>SUM(F224:F225)</f>
        <v>2720283</v>
      </c>
      <c r="G223" s="21">
        <f>SUM(G224:G225)</f>
        <v>2720283</v>
      </c>
    </row>
    <row r="224" spans="1:7" ht="129" customHeight="1">
      <c r="A224" s="10" t="s">
        <v>6</v>
      </c>
      <c r="B224" s="9" t="s">
        <v>64</v>
      </c>
      <c r="C224" s="9" t="s">
        <v>136</v>
      </c>
      <c r="D224" s="9" t="s">
        <v>7</v>
      </c>
      <c r="E224" s="22">
        <f>2699283</f>
        <v>2699283</v>
      </c>
      <c r="F224" s="22">
        <f>2699283</f>
        <v>2699283</v>
      </c>
      <c r="G224" s="22">
        <f>2699283</f>
        <v>2699283</v>
      </c>
    </row>
    <row r="225" spans="1:7" ht="54">
      <c r="A225" s="10" t="s">
        <v>10</v>
      </c>
      <c r="B225" s="9" t="s">
        <v>64</v>
      </c>
      <c r="C225" s="9" t="s">
        <v>136</v>
      </c>
      <c r="D225" s="9" t="s">
        <v>11</v>
      </c>
      <c r="E225" s="22">
        <f>229000</f>
        <v>229000</v>
      </c>
      <c r="F225" s="22">
        <f>21000</f>
        <v>21000</v>
      </c>
      <c r="G225" s="22">
        <f>21000</f>
        <v>21000</v>
      </c>
    </row>
    <row r="226" spans="1:7" ht="93" customHeight="1">
      <c r="A226" s="11" t="s">
        <v>186</v>
      </c>
      <c r="B226" s="8" t="s">
        <v>64</v>
      </c>
      <c r="C226" s="8" t="s">
        <v>141</v>
      </c>
      <c r="D226" s="8" t="s">
        <v>0</v>
      </c>
      <c r="E226" s="21">
        <f>E227+E230+E233+E236+E240+E243</f>
        <v>720165</v>
      </c>
      <c r="F226" s="21">
        <f>F227+F230+F233+F236+F240+F243</f>
        <v>0</v>
      </c>
      <c r="G226" s="21">
        <f>G227+G230+G233+G236+G240+G243</f>
        <v>0</v>
      </c>
    </row>
    <row r="227" spans="1:7" ht="0.75" customHeight="1" hidden="1">
      <c r="A227" s="17" t="s">
        <v>105</v>
      </c>
      <c r="B227" s="8" t="s">
        <v>64</v>
      </c>
      <c r="C227" s="8" t="s">
        <v>111</v>
      </c>
      <c r="D227" s="8"/>
      <c r="E227" s="21">
        <f>SUM(E228:E229)</f>
        <v>0</v>
      </c>
      <c r="F227" s="21">
        <f>SUM(F228:F229)</f>
        <v>0</v>
      </c>
      <c r="G227" s="21">
        <f>SUM(G228:G229)</f>
        <v>0</v>
      </c>
    </row>
    <row r="228" spans="1:7" ht="54" hidden="1">
      <c r="A228" s="10" t="s">
        <v>10</v>
      </c>
      <c r="B228" s="9" t="s">
        <v>64</v>
      </c>
      <c r="C228" s="9" t="s">
        <v>111</v>
      </c>
      <c r="D228" s="9" t="s">
        <v>11</v>
      </c>
      <c r="E228" s="21"/>
      <c r="F228" s="21"/>
      <c r="G228" s="21"/>
    </row>
    <row r="229" spans="1:7" ht="72" hidden="1">
      <c r="A229" s="10" t="s">
        <v>27</v>
      </c>
      <c r="B229" s="9" t="s">
        <v>64</v>
      </c>
      <c r="C229" s="9" t="s">
        <v>111</v>
      </c>
      <c r="D229" s="9" t="s">
        <v>28</v>
      </c>
      <c r="E229" s="21"/>
      <c r="F229" s="21"/>
      <c r="G229" s="21"/>
    </row>
    <row r="230" spans="1:7" ht="46.5" customHeight="1" hidden="1">
      <c r="A230" s="17" t="s">
        <v>106</v>
      </c>
      <c r="B230" s="8" t="s">
        <v>64</v>
      </c>
      <c r="C230" s="8" t="s">
        <v>41</v>
      </c>
      <c r="D230" s="8"/>
      <c r="E230" s="21">
        <f>SUM(E231:E232)</f>
        <v>0</v>
      </c>
      <c r="F230" s="21">
        <f>SUM(F231:F232)</f>
        <v>0</v>
      </c>
      <c r="G230" s="21">
        <f>SUM(G231:G232)</f>
        <v>0</v>
      </c>
    </row>
    <row r="231" spans="1:7" ht="26.25" customHeight="1" hidden="1">
      <c r="A231" s="10" t="s">
        <v>10</v>
      </c>
      <c r="B231" s="9" t="s">
        <v>64</v>
      </c>
      <c r="C231" s="9" t="s">
        <v>41</v>
      </c>
      <c r="D231" s="9" t="s">
        <v>11</v>
      </c>
      <c r="E231" s="21"/>
      <c r="F231" s="21"/>
      <c r="G231" s="21"/>
    </row>
    <row r="232" spans="1:7" ht="26.25" customHeight="1" hidden="1">
      <c r="A232" s="10" t="s">
        <v>27</v>
      </c>
      <c r="B232" s="9" t="s">
        <v>64</v>
      </c>
      <c r="C232" s="9" t="s">
        <v>41</v>
      </c>
      <c r="D232" s="9" t="s">
        <v>28</v>
      </c>
      <c r="E232" s="21"/>
      <c r="F232" s="21"/>
      <c r="G232" s="21"/>
    </row>
    <row r="233" spans="1:7" ht="27.75" customHeight="1" hidden="1">
      <c r="A233" s="17" t="s">
        <v>107</v>
      </c>
      <c r="B233" s="8" t="s">
        <v>64</v>
      </c>
      <c r="C233" s="8" t="s">
        <v>112</v>
      </c>
      <c r="D233" s="8"/>
      <c r="E233" s="21">
        <f>SUM(E234:E235)</f>
        <v>0</v>
      </c>
      <c r="F233" s="21">
        <f>SUM(F234:F235)</f>
        <v>0</v>
      </c>
      <c r="G233" s="21">
        <f>SUM(G234:G235)</f>
        <v>0</v>
      </c>
    </row>
    <row r="234" spans="1:7" ht="18" customHeight="1" hidden="1">
      <c r="A234" s="10" t="s">
        <v>10</v>
      </c>
      <c r="B234" s="9" t="s">
        <v>64</v>
      </c>
      <c r="C234" s="9" t="s">
        <v>112</v>
      </c>
      <c r="D234" s="9" t="s">
        <v>11</v>
      </c>
      <c r="E234" s="21"/>
      <c r="F234" s="21"/>
      <c r="G234" s="21"/>
    </row>
    <row r="235" spans="1:7" ht="19.5" customHeight="1" hidden="1">
      <c r="A235" s="10" t="s">
        <v>27</v>
      </c>
      <c r="B235" s="9" t="s">
        <v>64</v>
      </c>
      <c r="C235" s="9" t="s">
        <v>112</v>
      </c>
      <c r="D235" s="9" t="s">
        <v>28</v>
      </c>
      <c r="E235" s="21"/>
      <c r="F235" s="21"/>
      <c r="G235" s="21"/>
    </row>
    <row r="236" spans="1:7" ht="78" customHeight="1">
      <c r="A236" s="11" t="s">
        <v>194</v>
      </c>
      <c r="B236" s="8" t="s">
        <v>64</v>
      </c>
      <c r="C236" s="8" t="s">
        <v>192</v>
      </c>
      <c r="D236" s="8"/>
      <c r="E236" s="21">
        <f>SUM(E237:E238)+E239</f>
        <v>720165</v>
      </c>
      <c r="F236" s="21">
        <f>SUM(F237:F238)+F239</f>
        <v>0</v>
      </c>
      <c r="G236" s="21">
        <f>SUM(G237:G238)+G239</f>
        <v>0</v>
      </c>
    </row>
    <row r="237" spans="1:7" ht="144" hidden="1">
      <c r="A237" s="10" t="s">
        <v>6</v>
      </c>
      <c r="B237" s="9" t="s">
        <v>64</v>
      </c>
      <c r="C237" s="9" t="s">
        <v>192</v>
      </c>
      <c r="D237" s="9" t="s">
        <v>7</v>
      </c>
      <c r="E237" s="22"/>
      <c r="F237" s="22"/>
      <c r="G237" s="22"/>
    </row>
    <row r="238" spans="1:7" ht="51.75" customHeight="1">
      <c r="A238" s="10" t="s">
        <v>10</v>
      </c>
      <c r="B238" s="9" t="s">
        <v>64</v>
      </c>
      <c r="C238" s="9" t="s">
        <v>192</v>
      </c>
      <c r="D238" s="9" t="s">
        <v>11</v>
      </c>
      <c r="E238" s="22">
        <f>720165</f>
        <v>720165</v>
      </c>
      <c r="F238" s="22"/>
      <c r="G238" s="22"/>
    </row>
    <row r="239" spans="1:7" ht="3.75" customHeight="1" hidden="1">
      <c r="A239" s="10" t="s">
        <v>27</v>
      </c>
      <c r="B239" s="9" t="s">
        <v>64</v>
      </c>
      <c r="C239" s="9" t="s">
        <v>192</v>
      </c>
      <c r="D239" s="9" t="s">
        <v>28</v>
      </c>
      <c r="E239" s="22"/>
      <c r="F239" s="22"/>
      <c r="G239" s="22"/>
    </row>
    <row r="240" spans="1:7" ht="69" hidden="1">
      <c r="A240" s="17" t="s">
        <v>108</v>
      </c>
      <c r="B240" s="8" t="s">
        <v>64</v>
      </c>
      <c r="C240" s="8" t="s">
        <v>114</v>
      </c>
      <c r="D240" s="8"/>
      <c r="E240" s="21">
        <f>SUM(E241:E242)</f>
        <v>0</v>
      </c>
      <c r="F240" s="21">
        <f>SUM(F241:F242)</f>
        <v>0</v>
      </c>
      <c r="G240" s="21">
        <f>SUM(G241:G242)</f>
        <v>0</v>
      </c>
    </row>
    <row r="241" spans="1:7" ht="54" hidden="1">
      <c r="A241" s="10" t="s">
        <v>10</v>
      </c>
      <c r="B241" s="9" t="s">
        <v>64</v>
      </c>
      <c r="C241" s="9" t="s">
        <v>114</v>
      </c>
      <c r="D241" s="9" t="s">
        <v>11</v>
      </c>
      <c r="E241" s="21"/>
      <c r="F241" s="21"/>
      <c r="G241" s="21"/>
    </row>
    <row r="242" spans="1:7" ht="72" hidden="1">
      <c r="A242" s="10" t="s">
        <v>27</v>
      </c>
      <c r="B242" s="9" t="s">
        <v>64</v>
      </c>
      <c r="C242" s="9" t="s">
        <v>114</v>
      </c>
      <c r="D242" s="9" t="s">
        <v>28</v>
      </c>
      <c r="E242" s="21"/>
      <c r="F242" s="21"/>
      <c r="G242" s="21"/>
    </row>
    <row r="243" spans="1:7" ht="17.25" hidden="1">
      <c r="A243" s="26"/>
      <c r="B243" s="8" t="s">
        <v>64</v>
      </c>
      <c r="C243" s="8"/>
      <c r="D243" s="8"/>
      <c r="E243" s="21">
        <f>SUM(E244:E245)</f>
        <v>0</v>
      </c>
      <c r="F243" s="21">
        <f>SUM(F244:F245)</f>
        <v>0</v>
      </c>
      <c r="G243" s="21">
        <f>SUM(G244:G245)</f>
        <v>0</v>
      </c>
    </row>
    <row r="244" spans="1:7" ht="54" hidden="1">
      <c r="A244" s="10" t="s">
        <v>10</v>
      </c>
      <c r="B244" s="9" t="s">
        <v>64</v>
      </c>
      <c r="C244" s="9" t="s">
        <v>144</v>
      </c>
      <c r="D244" s="9" t="s">
        <v>11</v>
      </c>
      <c r="E244" s="22"/>
      <c r="F244" s="22"/>
      <c r="G244" s="22"/>
    </row>
    <row r="245" spans="1:7" ht="72" hidden="1">
      <c r="A245" s="10" t="s">
        <v>27</v>
      </c>
      <c r="B245" s="9" t="s">
        <v>64</v>
      </c>
      <c r="C245" s="9" t="s">
        <v>144</v>
      </c>
      <c r="D245" s="9" t="s">
        <v>28</v>
      </c>
      <c r="E245" s="22"/>
      <c r="F245" s="22"/>
      <c r="G245" s="22"/>
    </row>
    <row r="246" spans="1:7" ht="104.25">
      <c r="A246" s="11" t="s">
        <v>187</v>
      </c>
      <c r="B246" s="8" t="s">
        <v>64</v>
      </c>
      <c r="C246" s="8" t="s">
        <v>166</v>
      </c>
      <c r="D246" s="9"/>
      <c r="E246" s="21">
        <f>E247</f>
        <v>50960</v>
      </c>
      <c r="F246" s="21">
        <f>F247</f>
        <v>0</v>
      </c>
      <c r="G246" s="21">
        <f>G247</f>
        <v>0</v>
      </c>
    </row>
    <row r="247" spans="1:7" ht="54">
      <c r="A247" s="10" t="s">
        <v>10</v>
      </c>
      <c r="B247" s="9" t="s">
        <v>64</v>
      </c>
      <c r="C247" s="9" t="s">
        <v>166</v>
      </c>
      <c r="D247" s="9" t="s">
        <v>11</v>
      </c>
      <c r="E247" s="22">
        <f>50960</f>
        <v>50960</v>
      </c>
      <c r="F247" s="22"/>
      <c r="G247" s="22"/>
    </row>
    <row r="248" spans="1:7" ht="150" customHeight="1">
      <c r="A248" s="11" t="s">
        <v>183</v>
      </c>
      <c r="B248" s="8" t="s">
        <v>64</v>
      </c>
      <c r="C248" s="8" t="s">
        <v>163</v>
      </c>
      <c r="D248" s="8"/>
      <c r="E248" s="21">
        <f>SUM(E249:E250)</f>
        <v>7028857</v>
      </c>
      <c r="F248" s="21">
        <f>SUM(F249:F250)</f>
        <v>6797607</v>
      </c>
      <c r="G248" s="21">
        <f>SUM(G249:G250)</f>
        <v>6797607</v>
      </c>
    </row>
    <row r="249" spans="1:7" ht="132.75" customHeight="1">
      <c r="A249" s="10" t="s">
        <v>6</v>
      </c>
      <c r="B249" s="9" t="s">
        <v>64</v>
      </c>
      <c r="C249" s="9" t="s">
        <v>163</v>
      </c>
      <c r="D249" s="9" t="s">
        <v>7</v>
      </c>
      <c r="E249" s="22">
        <f>6394375</f>
        <v>6394375</v>
      </c>
      <c r="F249" s="22">
        <f>6394375</f>
        <v>6394375</v>
      </c>
      <c r="G249" s="22">
        <f>6394375</f>
        <v>6394375</v>
      </c>
    </row>
    <row r="250" spans="1:7" ht="57" customHeight="1">
      <c r="A250" s="10" t="s">
        <v>10</v>
      </c>
      <c r="B250" s="9" t="s">
        <v>64</v>
      </c>
      <c r="C250" s="9" t="s">
        <v>163</v>
      </c>
      <c r="D250" s="9" t="s">
        <v>11</v>
      </c>
      <c r="E250" s="22">
        <f>634482</f>
        <v>634482</v>
      </c>
      <c r="F250" s="22">
        <f>403232</f>
        <v>403232</v>
      </c>
      <c r="G250" s="22">
        <f>403232</f>
        <v>403232</v>
      </c>
    </row>
    <row r="251" spans="1:7" ht="87" hidden="1">
      <c r="A251" s="11" t="s">
        <v>102</v>
      </c>
      <c r="B251" s="8" t="s">
        <v>64</v>
      </c>
      <c r="C251" s="8" t="s">
        <v>135</v>
      </c>
      <c r="D251" s="8" t="s">
        <v>7</v>
      </c>
      <c r="E251" s="21">
        <f>E252+E253</f>
        <v>0</v>
      </c>
      <c r="F251" s="21">
        <f>F252+F253</f>
        <v>0</v>
      </c>
      <c r="G251" s="21">
        <f>G252+G253</f>
        <v>0</v>
      </c>
    </row>
    <row r="252" spans="1:7" ht="144" hidden="1">
      <c r="A252" s="10" t="s">
        <v>6</v>
      </c>
      <c r="B252" s="9" t="s">
        <v>64</v>
      </c>
      <c r="C252" s="9" t="s">
        <v>135</v>
      </c>
      <c r="D252" s="9" t="s">
        <v>7</v>
      </c>
      <c r="E252" s="22"/>
      <c r="F252" s="22"/>
      <c r="G252" s="22"/>
    </row>
    <row r="253" spans="1:7" ht="54" hidden="1">
      <c r="A253" s="10" t="s">
        <v>10</v>
      </c>
      <c r="B253" s="9" t="s">
        <v>64</v>
      </c>
      <c r="C253" s="9" t="s">
        <v>135</v>
      </c>
      <c r="D253" s="9" t="s">
        <v>11</v>
      </c>
      <c r="E253" s="22"/>
      <c r="F253" s="22"/>
      <c r="G253" s="22"/>
    </row>
    <row r="254" spans="1:7" ht="84" customHeight="1">
      <c r="A254" s="11" t="s">
        <v>103</v>
      </c>
      <c r="B254" s="8" t="s">
        <v>64</v>
      </c>
      <c r="C254" s="8" t="s">
        <v>137</v>
      </c>
      <c r="D254" s="8" t="s">
        <v>0</v>
      </c>
      <c r="E254" s="21">
        <f>SUM(E255:E259)</f>
        <v>26000</v>
      </c>
      <c r="F254" s="21">
        <f>SUM(F255:F259)</f>
        <v>6000</v>
      </c>
      <c r="G254" s="21">
        <f>SUM(G255:G259)</f>
        <v>6000</v>
      </c>
    </row>
    <row r="255" spans="1:7" ht="144" hidden="1">
      <c r="A255" s="10" t="s">
        <v>6</v>
      </c>
      <c r="B255" s="9" t="s">
        <v>64</v>
      </c>
      <c r="C255" s="9" t="s">
        <v>137</v>
      </c>
      <c r="D255" s="9" t="s">
        <v>7</v>
      </c>
      <c r="E255" s="22"/>
      <c r="F255" s="22"/>
      <c r="G255" s="22"/>
    </row>
    <row r="256" spans="1:7" ht="54">
      <c r="A256" s="10" t="s">
        <v>10</v>
      </c>
      <c r="B256" s="9" t="s">
        <v>64</v>
      </c>
      <c r="C256" s="9" t="s">
        <v>137</v>
      </c>
      <c r="D256" s="9" t="s">
        <v>11</v>
      </c>
      <c r="E256" s="22">
        <f>20000</f>
        <v>20000</v>
      </c>
      <c r="F256" s="22"/>
      <c r="G256" s="22"/>
    </row>
    <row r="257" spans="1:7" ht="45" customHeight="1">
      <c r="A257" s="10" t="s">
        <v>33</v>
      </c>
      <c r="B257" s="9" t="s">
        <v>64</v>
      </c>
      <c r="C257" s="9" t="s">
        <v>137</v>
      </c>
      <c r="D257" s="9" t="s">
        <v>34</v>
      </c>
      <c r="E257" s="22">
        <f>6000</f>
        <v>6000</v>
      </c>
      <c r="F257" s="22">
        <f>6000</f>
        <v>6000</v>
      </c>
      <c r="G257" s="22">
        <f>6000</f>
        <v>6000</v>
      </c>
    </row>
    <row r="258" spans="1:7" ht="72" hidden="1">
      <c r="A258" s="10" t="s">
        <v>27</v>
      </c>
      <c r="B258" s="9" t="s">
        <v>64</v>
      </c>
      <c r="C258" s="9" t="s">
        <v>137</v>
      </c>
      <c r="D258" s="9" t="s">
        <v>28</v>
      </c>
      <c r="E258" s="22"/>
      <c r="F258" s="22"/>
      <c r="G258" s="22"/>
    </row>
    <row r="259" spans="1:7" ht="18" hidden="1">
      <c r="A259" s="10" t="s">
        <v>13</v>
      </c>
      <c r="B259" s="9" t="s">
        <v>64</v>
      </c>
      <c r="C259" s="9" t="s">
        <v>137</v>
      </c>
      <c r="D259" s="9" t="s">
        <v>14</v>
      </c>
      <c r="E259" s="22"/>
      <c r="F259" s="22"/>
      <c r="G259" s="22"/>
    </row>
    <row r="260" spans="1:7" ht="18" hidden="1">
      <c r="A260" s="10"/>
      <c r="B260" s="9"/>
      <c r="C260" s="9"/>
      <c r="D260" s="9"/>
      <c r="E260" s="21"/>
      <c r="F260" s="21"/>
      <c r="G260" s="21"/>
    </row>
    <row r="261" spans="1:7" ht="34.5">
      <c r="A261" s="11" t="s">
        <v>65</v>
      </c>
      <c r="B261" s="8" t="s">
        <v>66</v>
      </c>
      <c r="C261" s="8"/>
      <c r="D261" s="8"/>
      <c r="E261" s="21">
        <f>E262+E275</f>
        <v>31320793</v>
      </c>
      <c r="F261" s="21">
        <f>F262+F275</f>
        <v>11628131</v>
      </c>
      <c r="G261" s="21">
        <f>G262+G275</f>
        <v>11677446</v>
      </c>
    </row>
    <row r="262" spans="1:7" ht="17.25">
      <c r="A262" s="11" t="s">
        <v>67</v>
      </c>
      <c r="B262" s="8" t="s">
        <v>68</v>
      </c>
      <c r="C262" s="8"/>
      <c r="D262" s="8"/>
      <c r="E262" s="21">
        <f>E263+E271+E269</f>
        <v>24157448</v>
      </c>
      <c r="F262" s="21">
        <f>F263+F271</f>
        <v>9464800</v>
      </c>
      <c r="G262" s="21">
        <f>G263+G271</f>
        <v>9514115</v>
      </c>
    </row>
    <row r="263" spans="1:8" ht="108" customHeight="1">
      <c r="A263" s="11" t="s">
        <v>187</v>
      </c>
      <c r="B263" s="8" t="s">
        <v>68</v>
      </c>
      <c r="C263" s="8" t="s">
        <v>145</v>
      </c>
      <c r="D263" s="8" t="s">
        <v>0</v>
      </c>
      <c r="E263" s="21">
        <f>SUM(E264:E268)</f>
        <v>24157448</v>
      </c>
      <c r="F263" s="21">
        <f>SUM(F264:F268)</f>
        <v>9464800</v>
      </c>
      <c r="G263" s="21">
        <f>SUM(G264:G268)</f>
        <v>9514115</v>
      </c>
      <c r="H263" s="21"/>
    </row>
    <row r="264" spans="1:7" ht="135" customHeight="1">
      <c r="A264" s="10" t="s">
        <v>6</v>
      </c>
      <c r="B264" s="9" t="s">
        <v>68</v>
      </c>
      <c r="C264" s="9" t="s">
        <v>145</v>
      </c>
      <c r="D264" s="9" t="s">
        <v>7</v>
      </c>
      <c r="E264" s="22">
        <f>7252461+11752864</f>
        <v>19005325</v>
      </c>
      <c r="F264" s="22">
        <f>7252461</f>
        <v>7252461</v>
      </c>
      <c r="G264" s="22">
        <f>7252461</f>
        <v>7252461</v>
      </c>
    </row>
    <row r="265" spans="1:7" ht="57" customHeight="1">
      <c r="A265" s="10" t="s">
        <v>10</v>
      </c>
      <c r="B265" s="9" t="s">
        <v>68</v>
      </c>
      <c r="C265" s="9" t="s">
        <v>145</v>
      </c>
      <c r="D265" s="9" t="s">
        <v>11</v>
      </c>
      <c r="E265" s="22">
        <f>2526850+2625273</f>
        <v>5152123</v>
      </c>
      <c r="F265" s="22">
        <f>2212339</f>
        <v>2212339</v>
      </c>
      <c r="G265" s="22">
        <f>2261654</f>
        <v>2261654</v>
      </c>
    </row>
    <row r="266" spans="1:7" ht="31.5" customHeight="1" hidden="1">
      <c r="A266" s="10" t="s">
        <v>25</v>
      </c>
      <c r="B266" s="9" t="s">
        <v>68</v>
      </c>
      <c r="C266" s="9" t="s">
        <v>101</v>
      </c>
      <c r="D266" s="9" t="s">
        <v>26</v>
      </c>
      <c r="E266" s="22"/>
      <c r="F266" s="22"/>
      <c r="G266" s="22"/>
    </row>
    <row r="267" spans="1:7" ht="72" hidden="1">
      <c r="A267" s="10" t="s">
        <v>27</v>
      </c>
      <c r="B267" s="9" t="s">
        <v>68</v>
      </c>
      <c r="C267" s="9" t="s">
        <v>101</v>
      </c>
      <c r="D267" s="9" t="s">
        <v>28</v>
      </c>
      <c r="E267" s="22"/>
      <c r="F267" s="22"/>
      <c r="G267" s="22"/>
    </row>
    <row r="268" spans="1:7" ht="34.5" customHeight="1" hidden="1">
      <c r="A268" s="10" t="s">
        <v>13</v>
      </c>
      <c r="B268" s="9" t="s">
        <v>68</v>
      </c>
      <c r="C268" s="9" t="s">
        <v>101</v>
      </c>
      <c r="D268" s="9" t="s">
        <v>14</v>
      </c>
      <c r="E268" s="22"/>
      <c r="F268" s="22"/>
      <c r="G268" s="22"/>
    </row>
    <row r="269" spans="1:7" ht="0.75" customHeight="1" hidden="1">
      <c r="A269" s="11" t="s">
        <v>153</v>
      </c>
      <c r="B269" s="8" t="s">
        <v>68</v>
      </c>
      <c r="C269" s="8" t="s">
        <v>154</v>
      </c>
      <c r="D269" s="8"/>
      <c r="E269" s="21">
        <f>E270</f>
        <v>0</v>
      </c>
      <c r="F269" s="21"/>
      <c r="G269" s="21"/>
    </row>
    <row r="270" spans="1:7" ht="54" hidden="1">
      <c r="A270" s="10" t="s">
        <v>10</v>
      </c>
      <c r="B270" s="9" t="s">
        <v>68</v>
      </c>
      <c r="C270" s="9" t="s">
        <v>154</v>
      </c>
      <c r="D270" s="9" t="s">
        <v>11</v>
      </c>
      <c r="E270" s="22"/>
      <c r="F270" s="22"/>
      <c r="G270" s="22"/>
    </row>
    <row r="271" spans="1:7" ht="69" hidden="1">
      <c r="A271" s="11" t="s">
        <v>103</v>
      </c>
      <c r="B271" s="8" t="s">
        <v>68</v>
      </c>
      <c r="C271" s="8" t="s">
        <v>137</v>
      </c>
      <c r="D271" s="8" t="s">
        <v>0</v>
      </c>
      <c r="E271" s="21">
        <f>SUM(E272:E274)</f>
        <v>0</v>
      </c>
      <c r="F271" s="21">
        <f>SUM(F272:F274)</f>
        <v>0</v>
      </c>
      <c r="G271" s="21">
        <f>SUM(G272:G274)</f>
        <v>0</v>
      </c>
    </row>
    <row r="272" spans="1:7" ht="144" hidden="1">
      <c r="A272" s="10" t="s">
        <v>6</v>
      </c>
      <c r="B272" s="9" t="s">
        <v>68</v>
      </c>
      <c r="C272" s="9" t="s">
        <v>137</v>
      </c>
      <c r="D272" s="9" t="s">
        <v>7</v>
      </c>
      <c r="E272" s="22"/>
      <c r="F272" s="22"/>
      <c r="G272" s="22"/>
    </row>
    <row r="273" spans="1:7" ht="54.75" customHeight="1" hidden="1">
      <c r="A273" s="10" t="s">
        <v>10</v>
      </c>
      <c r="B273" s="9" t="s">
        <v>68</v>
      </c>
      <c r="C273" s="9" t="s">
        <v>137</v>
      </c>
      <c r="D273" s="9" t="s">
        <v>11</v>
      </c>
      <c r="E273" s="22"/>
      <c r="F273" s="22"/>
      <c r="G273" s="22"/>
    </row>
    <row r="274" spans="1:7" ht="18" hidden="1">
      <c r="A274" s="10" t="s">
        <v>13</v>
      </c>
      <c r="B274" s="9" t="s">
        <v>68</v>
      </c>
      <c r="C274" s="9" t="s">
        <v>137</v>
      </c>
      <c r="D274" s="9" t="s">
        <v>14</v>
      </c>
      <c r="E274" s="22"/>
      <c r="F274" s="22"/>
      <c r="G274" s="22"/>
    </row>
    <row r="275" spans="1:7" ht="39.75" customHeight="1">
      <c r="A275" s="11" t="s">
        <v>164</v>
      </c>
      <c r="B275" s="8" t="s">
        <v>165</v>
      </c>
      <c r="C275" s="9"/>
      <c r="D275" s="9"/>
      <c r="E275" s="21">
        <f>E276+E279+E282</f>
        <v>7163345</v>
      </c>
      <c r="F275" s="21">
        <f>F276+F279+F282</f>
        <v>2163331</v>
      </c>
      <c r="G275" s="21">
        <f>G276+G279+G282</f>
        <v>2163331</v>
      </c>
    </row>
    <row r="276" spans="1:7" ht="105" customHeight="1">
      <c r="A276" s="11" t="s">
        <v>187</v>
      </c>
      <c r="B276" s="8" t="s">
        <v>165</v>
      </c>
      <c r="C276" s="8" t="s">
        <v>166</v>
      </c>
      <c r="D276" s="8"/>
      <c r="E276" s="21">
        <f>E277+E278</f>
        <v>7163345</v>
      </c>
      <c r="F276" s="21">
        <f>F277+F278</f>
        <v>2163331</v>
      </c>
      <c r="G276" s="21">
        <f>G277+G278</f>
        <v>2163331</v>
      </c>
    </row>
    <row r="277" spans="1:7" ht="126.75" customHeight="1">
      <c r="A277" s="10" t="s">
        <v>6</v>
      </c>
      <c r="B277" s="9" t="s">
        <v>165</v>
      </c>
      <c r="C277" s="9" t="s">
        <v>166</v>
      </c>
      <c r="D277" s="9" t="s">
        <v>7</v>
      </c>
      <c r="E277" s="22">
        <f>2163331+5000014</f>
        <v>7163345</v>
      </c>
      <c r="F277" s="22">
        <f>2163331</f>
        <v>2163331</v>
      </c>
      <c r="G277" s="22">
        <f>2163331</f>
        <v>2163331</v>
      </c>
    </row>
    <row r="278" spans="1:7" ht="58.5" customHeight="1" hidden="1">
      <c r="A278" s="10" t="s">
        <v>10</v>
      </c>
      <c r="B278" s="9" t="s">
        <v>165</v>
      </c>
      <c r="C278" s="9" t="s">
        <v>166</v>
      </c>
      <c r="D278" s="9" t="s">
        <v>11</v>
      </c>
      <c r="E278" s="22"/>
      <c r="F278" s="22"/>
      <c r="G278" s="22"/>
    </row>
    <row r="279" spans="1:7" ht="128.25" customHeight="1" hidden="1">
      <c r="A279" s="11" t="s">
        <v>162</v>
      </c>
      <c r="B279" s="8" t="s">
        <v>165</v>
      </c>
      <c r="C279" s="8" t="s">
        <v>163</v>
      </c>
      <c r="D279" s="9"/>
      <c r="E279" s="21">
        <f>E280+E281</f>
        <v>0</v>
      </c>
      <c r="F279" s="21">
        <f>F280+F281</f>
        <v>0</v>
      </c>
      <c r="G279" s="21">
        <f>G280+G281</f>
        <v>0</v>
      </c>
    </row>
    <row r="280" spans="1:7" ht="126" customHeight="1" hidden="1">
      <c r="A280" s="10" t="s">
        <v>6</v>
      </c>
      <c r="B280" s="9" t="s">
        <v>165</v>
      </c>
      <c r="C280" s="9" t="s">
        <v>163</v>
      </c>
      <c r="D280" s="9" t="s">
        <v>7</v>
      </c>
      <c r="E280" s="22"/>
      <c r="F280" s="22"/>
      <c r="G280" s="22"/>
    </row>
    <row r="281" spans="1:7" s="19" customFormat="1" ht="57" customHeight="1" hidden="1">
      <c r="A281" s="10" t="s">
        <v>10</v>
      </c>
      <c r="B281" s="9" t="s">
        <v>165</v>
      </c>
      <c r="C281" s="9" t="s">
        <v>163</v>
      </c>
      <c r="D281" s="9" t="s">
        <v>11</v>
      </c>
      <c r="E281" s="22"/>
      <c r="F281" s="22"/>
      <c r="G281" s="22"/>
    </row>
    <row r="282" spans="1:7" s="25" customFormat="1" ht="57" customHeight="1" hidden="1">
      <c r="A282" s="11" t="s">
        <v>103</v>
      </c>
      <c r="B282" s="8" t="s">
        <v>165</v>
      </c>
      <c r="C282" s="8" t="s">
        <v>151</v>
      </c>
      <c r="D282" s="8"/>
      <c r="E282" s="21">
        <f>E283</f>
        <v>0</v>
      </c>
      <c r="F282" s="21">
        <f>F283</f>
        <v>0</v>
      </c>
      <c r="G282" s="21">
        <f>G283</f>
        <v>0</v>
      </c>
    </row>
    <row r="283" spans="1:7" ht="57" customHeight="1" hidden="1">
      <c r="A283" s="10" t="s">
        <v>6</v>
      </c>
      <c r="B283" s="9" t="s">
        <v>165</v>
      </c>
      <c r="C283" s="9" t="s">
        <v>151</v>
      </c>
      <c r="D283" s="9" t="s">
        <v>7</v>
      </c>
      <c r="E283" s="22"/>
      <c r="F283" s="22"/>
      <c r="G283" s="22"/>
    </row>
    <row r="284" spans="1:7" ht="17.25">
      <c r="A284" s="11" t="s">
        <v>69</v>
      </c>
      <c r="B284" s="8" t="s">
        <v>70</v>
      </c>
      <c r="C284" s="8" t="s">
        <v>0</v>
      </c>
      <c r="D284" s="8" t="s">
        <v>0</v>
      </c>
      <c r="E284" s="21">
        <f>E285+E288+E299+E307</f>
        <v>13862870</v>
      </c>
      <c r="F284" s="21">
        <f>F285+F288+F299+F307</f>
        <v>15246870</v>
      </c>
      <c r="G284" s="21">
        <f>G285+G288+G299+G307</f>
        <v>15330470</v>
      </c>
    </row>
    <row r="285" spans="1:7" ht="17.25">
      <c r="A285" s="11" t="s">
        <v>71</v>
      </c>
      <c r="B285" s="8" t="s">
        <v>72</v>
      </c>
      <c r="C285" s="8" t="s">
        <v>0</v>
      </c>
      <c r="D285" s="8" t="s">
        <v>0</v>
      </c>
      <c r="E285" s="21">
        <f aca="true" t="shared" si="7" ref="E285:G286">E286</f>
        <v>1253470</v>
      </c>
      <c r="F285" s="21">
        <f t="shared" si="7"/>
        <v>1253470</v>
      </c>
      <c r="G285" s="21">
        <f t="shared" si="7"/>
        <v>1253470</v>
      </c>
    </row>
    <row r="286" spans="1:7" ht="69">
      <c r="A286" s="11" t="s">
        <v>103</v>
      </c>
      <c r="B286" s="8" t="s">
        <v>72</v>
      </c>
      <c r="C286" s="8" t="s">
        <v>137</v>
      </c>
      <c r="D286" s="8" t="s">
        <v>0</v>
      </c>
      <c r="E286" s="21">
        <f t="shared" si="7"/>
        <v>1253470</v>
      </c>
      <c r="F286" s="21">
        <f t="shared" si="7"/>
        <v>1253470</v>
      </c>
      <c r="G286" s="21">
        <f t="shared" si="7"/>
        <v>1253470</v>
      </c>
    </row>
    <row r="287" spans="1:7" ht="36">
      <c r="A287" s="10" t="s">
        <v>33</v>
      </c>
      <c r="B287" s="9" t="s">
        <v>72</v>
      </c>
      <c r="C287" s="9" t="s">
        <v>137</v>
      </c>
      <c r="D287" s="9" t="s">
        <v>34</v>
      </c>
      <c r="E287" s="22">
        <f>1253470</f>
        <v>1253470</v>
      </c>
      <c r="F287" s="22">
        <f>1253470</f>
        <v>1253470</v>
      </c>
      <c r="G287" s="22">
        <f>1253470</f>
        <v>1253470</v>
      </c>
    </row>
    <row r="288" spans="1:7" ht="40.5" customHeight="1">
      <c r="A288" s="11" t="s">
        <v>73</v>
      </c>
      <c r="B288" s="8" t="s">
        <v>74</v>
      </c>
      <c r="C288" s="8" t="s">
        <v>0</v>
      </c>
      <c r="D288" s="8" t="s">
        <v>0</v>
      </c>
      <c r="E288" s="21">
        <f>E289+E292+E294</f>
        <v>7456241</v>
      </c>
      <c r="F288" s="21">
        <f>F289+F292+F294</f>
        <v>6906241</v>
      </c>
      <c r="G288" s="21">
        <f>G289+G292+G294</f>
        <v>6811341</v>
      </c>
    </row>
    <row r="289" spans="1:7" ht="138.75">
      <c r="A289" s="11" t="s">
        <v>180</v>
      </c>
      <c r="B289" s="8" t="s">
        <v>74</v>
      </c>
      <c r="C289" s="8" t="s">
        <v>136</v>
      </c>
      <c r="D289" s="8"/>
      <c r="E289" s="21">
        <f>SUM(E290:E291)</f>
        <v>49500</v>
      </c>
      <c r="F289" s="21">
        <f>SUM(F290:F291)</f>
        <v>0</v>
      </c>
      <c r="G289" s="21">
        <f>SUM(G290:G291)</f>
        <v>0</v>
      </c>
    </row>
    <row r="290" spans="1:7" ht="57" customHeight="1">
      <c r="A290" s="10" t="s">
        <v>10</v>
      </c>
      <c r="B290" s="9" t="s">
        <v>74</v>
      </c>
      <c r="C290" s="9" t="s">
        <v>136</v>
      </c>
      <c r="D290" s="9" t="s">
        <v>11</v>
      </c>
      <c r="E290" s="22">
        <f>49500</f>
        <v>49500</v>
      </c>
      <c r="F290" s="22"/>
      <c r="G290" s="22"/>
    </row>
    <row r="291" spans="1:7" ht="18" hidden="1">
      <c r="A291" s="10" t="s">
        <v>13</v>
      </c>
      <c r="B291" s="9" t="s">
        <v>74</v>
      </c>
      <c r="C291" s="9" t="s">
        <v>100</v>
      </c>
      <c r="D291" s="9" t="s">
        <v>14</v>
      </c>
      <c r="E291" s="22"/>
      <c r="F291" s="22"/>
      <c r="G291" s="22"/>
    </row>
    <row r="292" spans="1:7" ht="51.75" hidden="1">
      <c r="A292" s="11" t="s">
        <v>189</v>
      </c>
      <c r="B292" s="8" t="s">
        <v>74</v>
      </c>
      <c r="C292" s="8" t="s">
        <v>146</v>
      </c>
      <c r="D292" s="8" t="s">
        <v>0</v>
      </c>
      <c r="E292" s="21">
        <f>SUM(E293:E293)</f>
        <v>0</v>
      </c>
      <c r="F292" s="21">
        <f>SUM(F293:F293)</f>
        <v>0</v>
      </c>
      <c r="G292" s="21">
        <f>SUM(G293:G293)</f>
        <v>0</v>
      </c>
    </row>
    <row r="293" spans="1:7" ht="36" hidden="1">
      <c r="A293" s="10" t="s">
        <v>33</v>
      </c>
      <c r="B293" s="9" t="s">
        <v>74</v>
      </c>
      <c r="C293" s="9" t="s">
        <v>146</v>
      </c>
      <c r="D293" s="9" t="s">
        <v>34</v>
      </c>
      <c r="E293" s="22"/>
      <c r="F293" s="22"/>
      <c r="G293" s="22"/>
    </row>
    <row r="294" spans="1:7" ht="72.75" customHeight="1">
      <c r="A294" s="11" t="s">
        <v>103</v>
      </c>
      <c r="B294" s="8" t="s">
        <v>74</v>
      </c>
      <c r="C294" s="8" t="s">
        <v>137</v>
      </c>
      <c r="D294" s="8" t="s">
        <v>0</v>
      </c>
      <c r="E294" s="21">
        <f>SUM(E295:E298)</f>
        <v>7406741</v>
      </c>
      <c r="F294" s="21">
        <f>SUM(F295:F298)</f>
        <v>6906241</v>
      </c>
      <c r="G294" s="21">
        <f>SUM(G295:G298)</f>
        <v>6811341</v>
      </c>
    </row>
    <row r="295" spans="1:7" ht="129.75" customHeight="1">
      <c r="A295" s="10" t="s">
        <v>6</v>
      </c>
      <c r="B295" s="9" t="s">
        <v>74</v>
      </c>
      <c r="C295" s="9" t="s">
        <v>137</v>
      </c>
      <c r="D295" s="9" t="s">
        <v>7</v>
      </c>
      <c r="E295" s="22">
        <f>87000+2592000+1007700</f>
        <v>3686700</v>
      </c>
      <c r="F295" s="22">
        <f>87000+2592000+919800</f>
        <v>3598800</v>
      </c>
      <c r="G295" s="22">
        <f>87000+2592000+886800</f>
        <v>3565800</v>
      </c>
    </row>
    <row r="296" spans="1:7" ht="54" hidden="1">
      <c r="A296" s="10" t="s">
        <v>10</v>
      </c>
      <c r="B296" s="9" t="s">
        <v>74</v>
      </c>
      <c r="C296" s="9" t="s">
        <v>137</v>
      </c>
      <c r="D296" s="9" t="s">
        <v>11</v>
      </c>
      <c r="E296" s="22"/>
      <c r="F296" s="22"/>
      <c r="G296" s="22"/>
    </row>
    <row r="297" spans="1:7" ht="48" customHeight="1">
      <c r="A297" s="10" t="s">
        <v>33</v>
      </c>
      <c r="B297" s="9" t="s">
        <v>74</v>
      </c>
      <c r="C297" s="9" t="s">
        <v>137</v>
      </c>
      <c r="D297" s="9" t="s">
        <v>34</v>
      </c>
      <c r="E297" s="22">
        <f>3720041</f>
        <v>3720041</v>
      </c>
      <c r="F297" s="22">
        <f>3307441</f>
        <v>3307441</v>
      </c>
      <c r="G297" s="22">
        <f>3245541</f>
        <v>3245541</v>
      </c>
    </row>
    <row r="298" spans="1:7" ht="72" hidden="1">
      <c r="A298" s="10" t="s">
        <v>27</v>
      </c>
      <c r="B298" s="9" t="s">
        <v>74</v>
      </c>
      <c r="C298" s="9" t="s">
        <v>137</v>
      </c>
      <c r="D298" s="9" t="s">
        <v>28</v>
      </c>
      <c r="E298" s="22"/>
      <c r="F298" s="22"/>
      <c r="G298" s="22"/>
    </row>
    <row r="299" spans="1:7" ht="17.25">
      <c r="A299" s="11" t="s">
        <v>75</v>
      </c>
      <c r="B299" s="8" t="s">
        <v>76</v>
      </c>
      <c r="C299" s="8" t="s">
        <v>0</v>
      </c>
      <c r="D299" s="8" t="s">
        <v>0</v>
      </c>
      <c r="E299" s="21">
        <f>E302+E300</f>
        <v>4749400</v>
      </c>
      <c r="F299" s="21">
        <f>F302+F300</f>
        <v>6683400</v>
      </c>
      <c r="G299" s="21">
        <f>G302+G300</f>
        <v>6861900</v>
      </c>
    </row>
    <row r="300" spans="1:7" ht="51.75">
      <c r="A300" s="11" t="s">
        <v>189</v>
      </c>
      <c r="B300" s="8" t="s">
        <v>76</v>
      </c>
      <c r="C300" s="8" t="s">
        <v>146</v>
      </c>
      <c r="D300" s="8"/>
      <c r="E300" s="21">
        <f>E301</f>
        <v>190000</v>
      </c>
      <c r="F300" s="21">
        <f>F301</f>
        <v>0</v>
      </c>
      <c r="G300" s="21">
        <f>G301</f>
        <v>0</v>
      </c>
    </row>
    <row r="301" spans="1:7" ht="36">
      <c r="A301" s="10" t="s">
        <v>33</v>
      </c>
      <c r="B301" s="8" t="s">
        <v>76</v>
      </c>
      <c r="C301" s="9" t="s">
        <v>146</v>
      </c>
      <c r="D301" s="9" t="s">
        <v>34</v>
      </c>
      <c r="E301" s="22">
        <f>190000</f>
        <v>190000</v>
      </c>
      <c r="F301" s="21"/>
      <c r="G301" s="21"/>
    </row>
    <row r="302" spans="1:7" ht="75" customHeight="1">
      <c r="A302" s="11" t="s">
        <v>103</v>
      </c>
      <c r="B302" s="8" t="s">
        <v>76</v>
      </c>
      <c r="C302" s="8" t="s">
        <v>137</v>
      </c>
      <c r="D302" s="8" t="s">
        <v>0</v>
      </c>
      <c r="E302" s="21">
        <f>SUM(E303:E306)</f>
        <v>4559400</v>
      </c>
      <c r="F302" s="21">
        <f>SUM(F303:F306)</f>
        <v>6683400</v>
      </c>
      <c r="G302" s="21">
        <f>SUM(G303:G306)</f>
        <v>6861900</v>
      </c>
    </row>
    <row r="303" spans="1:7" ht="144" hidden="1">
      <c r="A303" s="10" t="s">
        <v>6</v>
      </c>
      <c r="B303" s="9" t="s">
        <v>76</v>
      </c>
      <c r="C303" s="9" t="s">
        <v>12</v>
      </c>
      <c r="D303" s="9" t="s">
        <v>7</v>
      </c>
      <c r="E303" s="21"/>
      <c r="F303" s="21"/>
      <c r="G303" s="21"/>
    </row>
    <row r="304" spans="1:7" ht="54" hidden="1">
      <c r="A304" s="10" t="s">
        <v>10</v>
      </c>
      <c r="B304" s="9" t="s">
        <v>76</v>
      </c>
      <c r="C304" s="9" t="s">
        <v>137</v>
      </c>
      <c r="D304" s="9" t="s">
        <v>11</v>
      </c>
      <c r="E304" s="22"/>
      <c r="F304" s="22"/>
      <c r="G304" s="22"/>
    </row>
    <row r="305" spans="1:7" ht="35.25" customHeight="1">
      <c r="A305" s="10" t="s">
        <v>33</v>
      </c>
      <c r="B305" s="9" t="s">
        <v>76</v>
      </c>
      <c r="C305" s="9" t="s">
        <v>137</v>
      </c>
      <c r="D305" s="9" t="s">
        <v>34</v>
      </c>
      <c r="E305" s="22">
        <f>244600+2960100+1354700</f>
        <v>4559400</v>
      </c>
      <c r="F305" s="22">
        <f>244600+4562900+1875900</f>
        <v>6683400</v>
      </c>
      <c r="G305" s="22">
        <f>244600+4562900+2054400</f>
        <v>6861900</v>
      </c>
    </row>
    <row r="306" spans="1:7" ht="72" hidden="1">
      <c r="A306" s="10" t="s">
        <v>27</v>
      </c>
      <c r="B306" s="9" t="s">
        <v>76</v>
      </c>
      <c r="C306" s="9" t="s">
        <v>137</v>
      </c>
      <c r="D306" s="9" t="s">
        <v>28</v>
      </c>
      <c r="E306" s="22"/>
      <c r="F306" s="22"/>
      <c r="G306" s="22"/>
    </row>
    <row r="307" spans="1:7" ht="34.5">
      <c r="A307" s="11" t="s">
        <v>167</v>
      </c>
      <c r="B307" s="8" t="s">
        <v>168</v>
      </c>
      <c r="C307" s="9"/>
      <c r="D307" s="9"/>
      <c r="E307" s="21">
        <f>E308</f>
        <v>403759</v>
      </c>
      <c r="F307" s="21">
        <f>F308</f>
        <v>403759</v>
      </c>
      <c r="G307" s="21">
        <f>G308</f>
        <v>403759</v>
      </c>
    </row>
    <row r="308" spans="1:7" ht="81" customHeight="1">
      <c r="A308" s="11" t="s">
        <v>103</v>
      </c>
      <c r="B308" s="8" t="s">
        <v>168</v>
      </c>
      <c r="C308" s="8" t="s">
        <v>151</v>
      </c>
      <c r="D308" s="8"/>
      <c r="E308" s="21">
        <f>SUM(E309:E310)</f>
        <v>403759</v>
      </c>
      <c r="F308" s="21">
        <f>SUM(F309:F310)</f>
        <v>403759</v>
      </c>
      <c r="G308" s="21">
        <f>SUM(G309:G310)</f>
        <v>403759</v>
      </c>
    </row>
    <row r="309" spans="1:7" ht="135.75" customHeight="1">
      <c r="A309" s="10" t="s">
        <v>6</v>
      </c>
      <c r="B309" s="9" t="s">
        <v>168</v>
      </c>
      <c r="C309" s="9" t="s">
        <v>151</v>
      </c>
      <c r="D309" s="9" t="s">
        <v>7</v>
      </c>
      <c r="E309" s="22">
        <f>403759</f>
        <v>403759</v>
      </c>
      <c r="F309" s="22">
        <f>403759</f>
        <v>403759</v>
      </c>
      <c r="G309" s="22">
        <f>403759</f>
        <v>403759</v>
      </c>
    </row>
    <row r="310" spans="1:7" ht="54" hidden="1">
      <c r="A310" s="10" t="s">
        <v>10</v>
      </c>
      <c r="B310" s="9" t="s">
        <v>168</v>
      </c>
      <c r="C310" s="9" t="s">
        <v>151</v>
      </c>
      <c r="D310" s="9" t="s">
        <v>11</v>
      </c>
      <c r="E310" s="22"/>
      <c r="F310" s="22"/>
      <c r="G310" s="22"/>
    </row>
    <row r="311" spans="1:7" ht="34.5" hidden="1">
      <c r="A311" s="11" t="s">
        <v>77</v>
      </c>
      <c r="B311" s="8" t="s">
        <v>78</v>
      </c>
      <c r="C311" s="8" t="s">
        <v>0</v>
      </c>
      <c r="D311" s="8" t="s">
        <v>0</v>
      </c>
      <c r="E311" s="21">
        <f aca="true" t="shared" si="8" ref="E311:G312">E312</f>
        <v>0</v>
      </c>
      <c r="F311" s="21">
        <f t="shared" si="8"/>
        <v>0</v>
      </c>
      <c r="G311" s="21">
        <f t="shared" si="8"/>
        <v>0</v>
      </c>
    </row>
    <row r="312" spans="1:7" ht="17.25" hidden="1">
      <c r="A312" s="11" t="s">
        <v>79</v>
      </c>
      <c r="B312" s="8" t="s">
        <v>80</v>
      </c>
      <c r="C312" s="8" t="s">
        <v>0</v>
      </c>
      <c r="D312" s="8" t="s">
        <v>0</v>
      </c>
      <c r="E312" s="21">
        <f t="shared" si="8"/>
        <v>0</v>
      </c>
      <c r="F312" s="21">
        <f t="shared" si="8"/>
        <v>0</v>
      </c>
      <c r="G312" s="21">
        <f t="shared" si="8"/>
        <v>0</v>
      </c>
    </row>
    <row r="313" spans="1:7" ht="108" customHeight="1" hidden="1">
      <c r="A313" s="11" t="s">
        <v>190</v>
      </c>
      <c r="B313" s="8" t="s">
        <v>80</v>
      </c>
      <c r="C313" s="8" t="s">
        <v>147</v>
      </c>
      <c r="D313" s="8" t="s">
        <v>0</v>
      </c>
      <c r="E313" s="21">
        <f>SUM(E314:E315)</f>
        <v>0</v>
      </c>
      <c r="F313" s="21">
        <f>SUM(F314:F315)</f>
        <v>0</v>
      </c>
      <c r="G313" s="21">
        <f>SUM(G314:G315)</f>
        <v>0</v>
      </c>
    </row>
    <row r="314" spans="1:7" ht="144" hidden="1">
      <c r="A314" s="10" t="s">
        <v>6</v>
      </c>
      <c r="B314" s="9" t="s">
        <v>80</v>
      </c>
      <c r="C314" s="9" t="s">
        <v>147</v>
      </c>
      <c r="D314" s="9" t="s">
        <v>7</v>
      </c>
      <c r="E314" s="22"/>
      <c r="F314" s="22"/>
      <c r="G314" s="22"/>
    </row>
    <row r="315" spans="1:7" ht="53.25" customHeight="1" hidden="1">
      <c r="A315" s="10" t="s">
        <v>10</v>
      </c>
      <c r="B315" s="9" t="s">
        <v>80</v>
      </c>
      <c r="C315" s="9" t="s">
        <v>147</v>
      </c>
      <c r="D315" s="9" t="s">
        <v>11</v>
      </c>
      <c r="E315" s="22"/>
      <c r="F315" s="22"/>
      <c r="G315" s="22"/>
    </row>
    <row r="316" spans="1:7" ht="18" hidden="1">
      <c r="A316" s="10"/>
      <c r="B316" s="9"/>
      <c r="C316" s="9"/>
      <c r="D316" s="9"/>
      <c r="E316" s="22"/>
      <c r="F316" s="22"/>
      <c r="G316" s="22"/>
    </row>
    <row r="317" spans="1:7" ht="33" customHeight="1">
      <c r="A317" s="11" t="s">
        <v>81</v>
      </c>
      <c r="B317" s="8" t="s">
        <v>82</v>
      </c>
      <c r="C317" s="8" t="s">
        <v>0</v>
      </c>
      <c r="D317" s="8" t="s">
        <v>0</v>
      </c>
      <c r="E317" s="21">
        <f>E318+E331+E326</f>
        <v>1908100</v>
      </c>
      <c r="F317" s="21">
        <f>F318+F331+F326</f>
        <v>1908100</v>
      </c>
      <c r="G317" s="21">
        <f>G318+G331+G326</f>
        <v>1908100</v>
      </c>
    </row>
    <row r="318" spans="1:7" ht="17.25" hidden="1">
      <c r="A318" s="11" t="s">
        <v>83</v>
      </c>
      <c r="B318" s="8" t="s">
        <v>84</v>
      </c>
      <c r="C318" s="8" t="s">
        <v>0</v>
      </c>
      <c r="D318" s="8" t="s">
        <v>0</v>
      </c>
      <c r="E318" s="21">
        <f>E319+E323</f>
        <v>0</v>
      </c>
      <c r="F318" s="21">
        <f>F319+F323</f>
        <v>0</v>
      </c>
      <c r="G318" s="21">
        <f>G319+G323</f>
        <v>0</v>
      </c>
    </row>
    <row r="319" spans="1:7" ht="121.5" hidden="1">
      <c r="A319" s="12" t="s">
        <v>118</v>
      </c>
      <c r="B319" s="8" t="s">
        <v>84</v>
      </c>
      <c r="C319" s="8" t="s">
        <v>52</v>
      </c>
      <c r="D319" s="8" t="s">
        <v>0</v>
      </c>
      <c r="E319" s="21">
        <f>SUM(E320:E322)</f>
        <v>0</v>
      </c>
      <c r="F319" s="21">
        <f>SUM(F320:F322)</f>
        <v>0</v>
      </c>
      <c r="G319" s="21">
        <f>SUM(G320:G322)</f>
        <v>0</v>
      </c>
    </row>
    <row r="320" spans="1:7" ht="144" hidden="1">
      <c r="A320" s="10" t="s">
        <v>6</v>
      </c>
      <c r="B320" s="9" t="s">
        <v>84</v>
      </c>
      <c r="C320" s="9" t="s">
        <v>52</v>
      </c>
      <c r="D320" s="9" t="s">
        <v>7</v>
      </c>
      <c r="E320" s="22"/>
      <c r="F320" s="22"/>
      <c r="G320" s="22"/>
    </row>
    <row r="321" spans="1:7" ht="54" hidden="1">
      <c r="A321" s="10" t="s">
        <v>10</v>
      </c>
      <c r="B321" s="9" t="s">
        <v>84</v>
      </c>
      <c r="C321" s="9" t="s">
        <v>52</v>
      </c>
      <c r="D321" s="9" t="s">
        <v>11</v>
      </c>
      <c r="E321" s="22"/>
      <c r="F321" s="22"/>
      <c r="G321" s="22"/>
    </row>
    <row r="322" spans="1:7" ht="18" hidden="1">
      <c r="A322" s="10" t="s">
        <v>13</v>
      </c>
      <c r="B322" s="9" t="s">
        <v>84</v>
      </c>
      <c r="C322" s="9" t="s">
        <v>52</v>
      </c>
      <c r="D322" s="9" t="s">
        <v>14</v>
      </c>
      <c r="E322" s="22"/>
      <c r="F322" s="22"/>
      <c r="G322" s="22"/>
    </row>
    <row r="323" spans="1:7" ht="69" customHeight="1" hidden="1">
      <c r="A323" s="11" t="s">
        <v>103</v>
      </c>
      <c r="B323" s="8" t="s">
        <v>84</v>
      </c>
      <c r="C323" s="8" t="s">
        <v>12</v>
      </c>
      <c r="D323" s="8" t="s">
        <v>0</v>
      </c>
      <c r="E323" s="21">
        <f>SUM(E324:E325)</f>
        <v>0</v>
      </c>
      <c r="F323" s="21">
        <f>SUM(F324:F325)</f>
        <v>0</v>
      </c>
      <c r="G323" s="21">
        <f>SUM(G324:G325)</f>
        <v>0</v>
      </c>
    </row>
    <row r="324" spans="1:7" ht="144" hidden="1">
      <c r="A324" s="10" t="s">
        <v>6</v>
      </c>
      <c r="B324" s="9" t="s">
        <v>84</v>
      </c>
      <c r="C324" s="9" t="s">
        <v>12</v>
      </c>
      <c r="D324" s="9" t="s">
        <v>7</v>
      </c>
      <c r="E324" s="21"/>
      <c r="F324" s="21"/>
      <c r="G324" s="22"/>
    </row>
    <row r="325" spans="1:7" ht="18" hidden="1">
      <c r="A325" s="10" t="s">
        <v>13</v>
      </c>
      <c r="B325" s="9" t="s">
        <v>84</v>
      </c>
      <c r="C325" s="9" t="s">
        <v>12</v>
      </c>
      <c r="D325" s="9" t="s">
        <v>14</v>
      </c>
      <c r="E325" s="22"/>
      <c r="F325" s="22"/>
      <c r="G325" s="22"/>
    </row>
    <row r="326" spans="1:7" ht="34.5">
      <c r="A326" s="11" t="s">
        <v>176</v>
      </c>
      <c r="B326" s="8" t="s">
        <v>174</v>
      </c>
      <c r="C326" s="9"/>
      <c r="D326" s="9"/>
      <c r="E326" s="21">
        <f>E327+E329</f>
        <v>1294100</v>
      </c>
      <c r="F326" s="21">
        <f>F327+F329</f>
        <v>1294100</v>
      </c>
      <c r="G326" s="21">
        <f>G327+G329</f>
        <v>1294100</v>
      </c>
    </row>
    <row r="327" spans="1:7" ht="121.5">
      <c r="A327" s="11" t="s">
        <v>191</v>
      </c>
      <c r="B327" s="8" t="s">
        <v>174</v>
      </c>
      <c r="C327" s="8" t="s">
        <v>175</v>
      </c>
      <c r="D327" s="9"/>
      <c r="E327" s="21">
        <f>E328</f>
        <v>1294100</v>
      </c>
      <c r="F327" s="21">
        <f>F328</f>
        <v>1294100</v>
      </c>
      <c r="G327" s="21">
        <f>G328</f>
        <v>1294100</v>
      </c>
    </row>
    <row r="328" spans="1:7" ht="29.25" customHeight="1">
      <c r="A328" s="10" t="s">
        <v>13</v>
      </c>
      <c r="B328" s="8" t="s">
        <v>174</v>
      </c>
      <c r="C328" s="9" t="s">
        <v>175</v>
      </c>
      <c r="D328" s="9" t="s">
        <v>14</v>
      </c>
      <c r="E328" s="22">
        <f>1294100</f>
        <v>1294100</v>
      </c>
      <c r="F328" s="22">
        <f>1294100</f>
        <v>1294100</v>
      </c>
      <c r="G328" s="22">
        <f>1294100</f>
        <v>1294100</v>
      </c>
    </row>
    <row r="329" spans="1:7" ht="69" hidden="1">
      <c r="A329" s="11" t="s">
        <v>103</v>
      </c>
      <c r="B329" s="8" t="s">
        <v>174</v>
      </c>
      <c r="C329" s="8" t="s">
        <v>151</v>
      </c>
      <c r="D329" s="9"/>
      <c r="E329" s="21">
        <f>E330</f>
        <v>0</v>
      </c>
      <c r="F329" s="21">
        <f>F330</f>
        <v>0</v>
      </c>
      <c r="G329" s="21">
        <f>G330</f>
        <v>0</v>
      </c>
    </row>
    <row r="330" spans="1:7" ht="18" customHeight="1" hidden="1">
      <c r="A330" s="10" t="s">
        <v>13</v>
      </c>
      <c r="B330" s="8" t="s">
        <v>174</v>
      </c>
      <c r="C330" s="9" t="s">
        <v>151</v>
      </c>
      <c r="D330" s="9" t="s">
        <v>14</v>
      </c>
      <c r="E330" s="22"/>
      <c r="F330" s="22"/>
      <c r="G330" s="22"/>
    </row>
    <row r="331" spans="1:7" ht="34.5">
      <c r="A331" s="11" t="s">
        <v>85</v>
      </c>
      <c r="B331" s="8" t="s">
        <v>86</v>
      </c>
      <c r="C331" s="8" t="s">
        <v>0</v>
      </c>
      <c r="D331" s="8" t="s">
        <v>0</v>
      </c>
      <c r="E331" s="21">
        <f>E332+E335</f>
        <v>614000</v>
      </c>
      <c r="F331" s="21">
        <f>F332+F335</f>
        <v>614000</v>
      </c>
      <c r="G331" s="21">
        <f>G332+G335</f>
        <v>614000</v>
      </c>
    </row>
    <row r="332" spans="1:7" ht="130.5" customHeight="1">
      <c r="A332" s="11" t="s">
        <v>191</v>
      </c>
      <c r="B332" s="8" t="s">
        <v>86</v>
      </c>
      <c r="C332" s="8" t="s">
        <v>148</v>
      </c>
      <c r="D332" s="8" t="s">
        <v>0</v>
      </c>
      <c r="E332" s="21">
        <f>SUM(E333:E334)</f>
        <v>614000</v>
      </c>
      <c r="F332" s="21">
        <f>SUM(F333:F334)</f>
        <v>614000</v>
      </c>
      <c r="G332" s="21">
        <f>SUM(G333:G334)</f>
        <v>614000</v>
      </c>
    </row>
    <row r="333" spans="1:7" ht="57" customHeight="1" hidden="1">
      <c r="A333" s="10" t="s">
        <v>10</v>
      </c>
      <c r="B333" s="9" t="s">
        <v>86</v>
      </c>
      <c r="C333" s="9" t="s">
        <v>52</v>
      </c>
      <c r="D333" s="9" t="s">
        <v>11</v>
      </c>
      <c r="E333" s="22"/>
      <c r="F333" s="22"/>
      <c r="G333" s="22"/>
    </row>
    <row r="334" spans="1:7" ht="21" customHeight="1">
      <c r="A334" s="10" t="s">
        <v>13</v>
      </c>
      <c r="B334" s="9" t="s">
        <v>86</v>
      </c>
      <c r="C334" s="9" t="s">
        <v>148</v>
      </c>
      <c r="D334" s="9" t="s">
        <v>14</v>
      </c>
      <c r="E334" s="22">
        <f>614000</f>
        <v>614000</v>
      </c>
      <c r="F334" s="22">
        <f>614000</f>
        <v>614000</v>
      </c>
      <c r="G334" s="22">
        <f>614000</f>
        <v>614000</v>
      </c>
    </row>
    <row r="335" spans="1:7" s="25" customFormat="1" ht="84.75" customHeight="1" hidden="1">
      <c r="A335" s="11" t="s">
        <v>103</v>
      </c>
      <c r="B335" s="8" t="s">
        <v>86</v>
      </c>
      <c r="C335" s="8" t="s">
        <v>151</v>
      </c>
      <c r="D335" s="8"/>
      <c r="E335" s="21">
        <f>E336</f>
        <v>0</v>
      </c>
      <c r="F335" s="21">
        <f>F336</f>
        <v>0</v>
      </c>
      <c r="G335" s="21">
        <f>G336</f>
        <v>0</v>
      </c>
    </row>
    <row r="336" spans="1:7" ht="21" customHeight="1" hidden="1">
      <c r="A336" s="10" t="s">
        <v>13</v>
      </c>
      <c r="B336" s="9" t="s">
        <v>86</v>
      </c>
      <c r="C336" s="9" t="s">
        <v>151</v>
      </c>
      <c r="D336" s="9" t="s">
        <v>14</v>
      </c>
      <c r="E336" s="22"/>
      <c r="F336" s="22"/>
      <c r="G336" s="22"/>
    </row>
    <row r="337" spans="1:7" ht="51.75" hidden="1">
      <c r="A337" s="11" t="s">
        <v>87</v>
      </c>
      <c r="B337" s="8" t="s">
        <v>88</v>
      </c>
      <c r="C337" s="8" t="s">
        <v>0</v>
      </c>
      <c r="D337" s="8" t="s">
        <v>0</v>
      </c>
      <c r="E337" s="21">
        <f>E338</f>
        <v>0</v>
      </c>
      <c r="F337" s="21">
        <f aca="true" t="shared" si="9" ref="F337:G339">F338</f>
        <v>0</v>
      </c>
      <c r="G337" s="21">
        <f t="shared" si="9"/>
        <v>0</v>
      </c>
    </row>
    <row r="338" spans="1:7" ht="51.75" hidden="1">
      <c r="A338" s="11" t="s">
        <v>89</v>
      </c>
      <c r="B338" s="8" t="s">
        <v>90</v>
      </c>
      <c r="C338" s="8" t="s">
        <v>0</v>
      </c>
      <c r="D338" s="8" t="s">
        <v>0</v>
      </c>
      <c r="E338" s="21">
        <f>E339</f>
        <v>0</v>
      </c>
      <c r="F338" s="21">
        <f t="shared" si="9"/>
        <v>0</v>
      </c>
      <c r="G338" s="21">
        <f t="shared" si="9"/>
        <v>0</v>
      </c>
    </row>
    <row r="339" spans="1:7" ht="69" hidden="1">
      <c r="A339" s="11" t="s">
        <v>103</v>
      </c>
      <c r="B339" s="8" t="s">
        <v>90</v>
      </c>
      <c r="C339" s="8" t="s">
        <v>137</v>
      </c>
      <c r="D339" s="8" t="s">
        <v>0</v>
      </c>
      <c r="E339" s="21">
        <f>E340</f>
        <v>0</v>
      </c>
      <c r="F339" s="21">
        <f t="shared" si="9"/>
        <v>0</v>
      </c>
      <c r="G339" s="21">
        <f t="shared" si="9"/>
        <v>0</v>
      </c>
    </row>
    <row r="340" spans="1:7" ht="57.75" customHeight="1" hidden="1">
      <c r="A340" s="10" t="s">
        <v>29</v>
      </c>
      <c r="B340" s="9" t="s">
        <v>90</v>
      </c>
      <c r="C340" s="9" t="s">
        <v>137</v>
      </c>
      <c r="D340" s="9" t="s">
        <v>30</v>
      </c>
      <c r="E340" s="22"/>
      <c r="F340" s="22"/>
      <c r="G340" s="22"/>
    </row>
    <row r="341" spans="1:7" ht="121.5">
      <c r="A341" s="11" t="s">
        <v>130</v>
      </c>
      <c r="B341" s="8" t="s">
        <v>131</v>
      </c>
      <c r="C341" s="9"/>
      <c r="D341" s="9"/>
      <c r="E341" s="21">
        <f aca="true" t="shared" si="10" ref="E341:G343">E342</f>
        <v>20105800</v>
      </c>
      <c r="F341" s="21">
        <f t="shared" si="10"/>
        <v>21805800</v>
      </c>
      <c r="G341" s="21">
        <f t="shared" si="10"/>
        <v>22105800</v>
      </c>
    </row>
    <row r="342" spans="1:7" ht="34.5">
      <c r="A342" s="23" t="s">
        <v>132</v>
      </c>
      <c r="B342" s="8" t="s">
        <v>133</v>
      </c>
      <c r="C342" s="9"/>
      <c r="D342" s="9"/>
      <c r="E342" s="21">
        <f t="shared" si="10"/>
        <v>20105800</v>
      </c>
      <c r="F342" s="21">
        <f t="shared" si="10"/>
        <v>21805800</v>
      </c>
      <c r="G342" s="21">
        <f t="shared" si="10"/>
        <v>22105800</v>
      </c>
    </row>
    <row r="343" spans="1:7" ht="69">
      <c r="A343" s="11" t="s">
        <v>103</v>
      </c>
      <c r="B343" s="8" t="s">
        <v>133</v>
      </c>
      <c r="C343" s="8" t="s">
        <v>137</v>
      </c>
      <c r="D343" s="9"/>
      <c r="E343" s="21">
        <f t="shared" si="10"/>
        <v>20105800</v>
      </c>
      <c r="F343" s="21">
        <f t="shared" si="10"/>
        <v>21805800</v>
      </c>
      <c r="G343" s="21">
        <f t="shared" si="10"/>
        <v>22105800</v>
      </c>
    </row>
    <row r="344" spans="1:7" ht="18">
      <c r="A344" s="10" t="s">
        <v>25</v>
      </c>
      <c r="B344" s="9" t="s">
        <v>133</v>
      </c>
      <c r="C344" s="9" t="s">
        <v>137</v>
      </c>
      <c r="D344" s="9" t="s">
        <v>26</v>
      </c>
      <c r="E344" s="22">
        <f>1300000+8000000+8076000+2729800</f>
        <v>20105800</v>
      </c>
      <c r="F344" s="22">
        <f>1300000+8000000+9776000+2729800</f>
        <v>21805800</v>
      </c>
      <c r="G344" s="22">
        <f>1300000+8000000+10076000+2729800</f>
        <v>22105800</v>
      </c>
    </row>
    <row r="345" spans="1:7" ht="17.25">
      <c r="A345" s="13" t="s">
        <v>99</v>
      </c>
      <c r="B345" s="14"/>
      <c r="C345" s="14"/>
      <c r="D345" s="14"/>
      <c r="E345" s="24">
        <f>E8+E97+E119+E137+E261+E284+E311+E317+E337+E88+E341</f>
        <v>342431380</v>
      </c>
      <c r="F345" s="24">
        <f>F8+F97+F119+F137+F261+F284+F311+F317+F337+F88+F341</f>
        <v>347698798</v>
      </c>
      <c r="G345" s="24">
        <f>G8+G97+G119+G137+G261+G284+G311+G317+G337+G88+G341</f>
        <v>343264468</v>
      </c>
    </row>
    <row r="347" spans="5:7" ht="12.75">
      <c r="E347" s="18"/>
      <c r="F347" s="18"/>
      <c r="G347" s="18"/>
    </row>
    <row r="349" spans="5:7" ht="12.75">
      <c r="E349" s="18"/>
      <c r="F349" s="20"/>
      <c r="G349" s="20"/>
    </row>
  </sheetData>
  <sheetProtection/>
  <mergeCells count="2">
    <mergeCell ref="A2:G2"/>
    <mergeCell ref="F1:G1"/>
  </mergeCells>
  <printOptions/>
  <pageMargins left="0.75" right="0.75" top="1" bottom="1" header="0.5" footer="0.5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K62</cp:lastModifiedBy>
  <cp:lastPrinted>2021-11-16T08:30:24Z</cp:lastPrinted>
  <dcterms:created xsi:type="dcterms:W3CDTF">2002-03-11T10:22:12Z</dcterms:created>
  <dcterms:modified xsi:type="dcterms:W3CDTF">2021-12-14T13:30:59Z</dcterms:modified>
  <cp:category/>
  <cp:version/>
  <cp:contentType/>
  <cp:contentStatus/>
</cp:coreProperties>
</file>